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xr:revisionPtr revIDLastSave="0" documentId="13_ncr:1_{C1054960-DDE0-4BAB-9A60-FAAF440303B3}" xr6:coauthVersionLast="47" xr6:coauthVersionMax="47" xr10:uidLastSave="{00000000-0000-0000-0000-000000000000}"/>
  <bookViews>
    <workbookView xWindow="-108" yWindow="-108" windowWidth="23256" windowHeight="12456" activeTab="1" xr2:uid="{00000000-000D-0000-FFFF-FFFF00000000}"/>
  </bookViews>
  <sheets>
    <sheet name="Abstract of Cost" sheetId="1" r:id="rId1"/>
    <sheet name="Rate Analysis" sheetId="2" r:id="rId2"/>
  </sheets>
  <calcPr calcId="18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9" i="2" l="1"/>
  <c r="F10" i="2"/>
  <c r="F11" i="2"/>
  <c r="F12" i="2"/>
  <c r="F13" i="2"/>
  <c r="F14" i="2"/>
  <c r="F15" i="2"/>
  <c r="F17" i="2"/>
  <c r="F18" i="2"/>
  <c r="F19" i="2"/>
  <c r="F20" i="2"/>
  <c r="F21" i="2"/>
  <c r="F22" i="2"/>
  <c r="F23" i="2"/>
  <c r="F24" i="2"/>
  <c r="F25" i="2"/>
  <c r="F43" i="2"/>
  <c r="F45" i="2"/>
  <c r="F46" i="2"/>
  <c r="F47" i="2"/>
  <c r="F48" i="2"/>
  <c r="F49" i="2"/>
  <c r="F50" i="2"/>
  <c r="F51" i="2"/>
  <c r="F53" i="2"/>
  <c r="F54" i="2"/>
  <c r="F55" i="2"/>
  <c r="F56" i="2"/>
  <c r="F57" i="2"/>
  <c r="F58" i="2"/>
  <c r="F79" i="2"/>
  <c r="F80" i="2"/>
  <c r="F81" i="2"/>
  <c r="F82" i="2"/>
  <c r="F83" i="2"/>
  <c r="F84" i="2"/>
  <c r="F85" i="2"/>
  <c r="F87" i="2"/>
  <c r="F88" i="2"/>
  <c r="F89" i="2"/>
  <c r="F90" i="2"/>
  <c r="F91" i="2"/>
  <c r="F92" i="2"/>
  <c r="F93" i="2"/>
  <c r="F94" i="2"/>
  <c r="F95" i="2"/>
  <c r="F98" i="2"/>
  <c r="F122" i="2"/>
  <c r="F130" i="2" s="1"/>
  <c r="F123" i="2"/>
  <c r="F124" i="2"/>
  <c r="F127" i="2"/>
  <c r="F128" i="2"/>
  <c r="F129" i="2"/>
  <c r="F155" i="2"/>
  <c r="F157" i="2"/>
  <c r="F159" i="2"/>
  <c r="F161" i="2"/>
  <c r="F163" i="2"/>
  <c r="F164" i="2"/>
  <c r="F166" i="2"/>
  <c r="F167" i="2"/>
  <c r="F168" i="2"/>
  <c r="F169" i="2"/>
  <c r="F190" i="2"/>
  <c r="F194" i="2" s="1"/>
  <c r="F191" i="2"/>
  <c r="F192" i="2"/>
  <c r="F193" i="2"/>
  <c r="F214" i="2"/>
  <c r="F215" i="2"/>
  <c r="F217" i="2"/>
  <c r="F218" i="2"/>
  <c r="F219" i="2"/>
  <c r="F221" i="2"/>
  <c r="F223" i="2"/>
  <c r="F225" i="2"/>
  <c r="F227" i="2"/>
  <c r="F246" i="2"/>
  <c r="F254" i="2"/>
  <c r="F260" i="2"/>
  <c r="F261" i="2"/>
  <c r="F263" i="2"/>
  <c r="F264" i="2"/>
  <c r="F265" i="2"/>
  <c r="F271" i="2"/>
  <c r="F273" i="2"/>
  <c r="F274" i="2"/>
  <c r="F275" i="2"/>
  <c r="F276" i="2"/>
  <c r="F277" i="2"/>
  <c r="F278" i="2"/>
  <c r="F279" i="2"/>
  <c r="F313" i="2"/>
  <c r="F332" i="2" s="1"/>
  <c r="F314" i="2"/>
  <c r="F319" i="2"/>
  <c r="F325" i="2"/>
  <c r="F328" i="2"/>
  <c r="F329" i="2"/>
  <c r="F330" i="2"/>
  <c r="F331" i="2"/>
  <c r="F355" i="2"/>
  <c r="F356" i="2"/>
  <c r="F361" i="2"/>
  <c r="F363" i="2"/>
  <c r="F364" i="2"/>
  <c r="F365" i="2"/>
  <c r="F366" i="2"/>
  <c r="F367" i="2"/>
  <c r="F389" i="2"/>
  <c r="F396" i="2" s="1"/>
  <c r="F391" i="2"/>
  <c r="F392" i="2"/>
  <c r="F393" i="2"/>
  <c r="F394" i="2"/>
  <c r="F415" i="2"/>
  <c r="F416" i="2"/>
  <c r="F417" i="2"/>
  <c r="F438" i="2"/>
  <c r="F439" i="2"/>
  <c r="F440" i="2"/>
  <c r="F441" i="2"/>
  <c r="F461" i="2"/>
  <c r="F462" i="2" s="1"/>
  <c r="F442" i="2" l="1"/>
  <c r="F26" i="2"/>
  <c r="F418" i="2"/>
  <c r="F220" i="2"/>
  <c r="F222" i="2" s="1"/>
  <c r="F224" i="2" s="1"/>
  <c r="F226" i="2" s="1"/>
  <c r="F228" i="2" s="1"/>
  <c r="F229" i="2" s="1"/>
  <c r="F230" i="2" s="1"/>
  <c r="F398" i="2"/>
  <c r="F195" i="2"/>
  <c r="F196" i="2" s="1"/>
  <c r="F395" i="2"/>
  <c r="F397" i="2" s="1"/>
  <c r="F399" i="2" s="1"/>
  <c r="F281" i="2"/>
  <c r="F283" i="2" s="1"/>
  <c r="F285" i="2" s="1"/>
  <c r="F287" i="2" s="1"/>
  <c r="F100" i="2"/>
  <c r="F280" i="2"/>
  <c r="F99" i="2"/>
  <c r="F59" i="2"/>
  <c r="F27" i="2"/>
  <c r="F420" i="2"/>
  <c r="F62" i="2"/>
  <c r="F64" i="2" s="1"/>
  <c r="F334" i="2"/>
  <c r="F132" i="2"/>
  <c r="F28" i="2"/>
  <c r="F30" i="2" s="1"/>
  <c r="F171" i="2"/>
  <c r="F369" i="2"/>
  <c r="F170" i="2"/>
  <c r="F172" i="2" s="1"/>
  <c r="F445" i="2"/>
  <c r="F447" i="2" s="1"/>
  <c r="F368" i="2"/>
  <c r="F60" i="2"/>
  <c r="F61" i="2" s="1"/>
  <c r="F419" i="2"/>
  <c r="F443" i="2"/>
  <c r="F333" i="2"/>
  <c r="F131" i="2"/>
  <c r="F133" i="2" s="1"/>
  <c r="F135" i="2" s="1"/>
  <c r="F463" i="2"/>
  <c r="F102" i="2" l="1"/>
  <c r="F104" i="2" s="1"/>
  <c r="F106" i="2" s="1"/>
  <c r="F197" i="2"/>
  <c r="F198" i="2" s="1"/>
  <c r="F200" i="2" s="1"/>
  <c r="F202" i="2" s="1"/>
  <c r="F203" i="2" s="1"/>
  <c r="F204" i="2" s="1"/>
  <c r="F199" i="2"/>
  <c r="F201" i="2"/>
  <c r="F400" i="2"/>
  <c r="F402" i="2" s="1"/>
  <c r="F63" i="2"/>
  <c r="F65" i="2" s="1"/>
  <c r="F67" i="2" s="1"/>
  <c r="F68" i="2" s="1"/>
  <c r="F69" i="2" s="1"/>
  <c r="F335" i="2"/>
  <c r="F101" i="2"/>
  <c r="F103" i="2" s="1"/>
  <c r="F370" i="2"/>
  <c r="F372" i="2" s="1"/>
  <c r="F282" i="2"/>
  <c r="F284" i="2" s="1"/>
  <c r="F286" i="2" s="1"/>
  <c r="F288" i="2" s="1"/>
  <c r="F289" i="2" s="1"/>
  <c r="F290" i="2" s="1"/>
  <c r="F467" i="2"/>
  <c r="F469" i="2" s="1"/>
  <c r="F465" i="2"/>
  <c r="F66" i="2"/>
  <c r="F134" i="2"/>
  <c r="F136" i="2" s="1"/>
  <c r="F464" i="2"/>
  <c r="F466" i="2" s="1"/>
  <c r="F137" i="2"/>
  <c r="F449" i="2"/>
  <c r="F371" i="2"/>
  <c r="F373" i="2" s="1"/>
  <c r="F375" i="2" s="1"/>
  <c r="F173" i="2"/>
  <c r="F175" i="2" s="1"/>
  <c r="F177" i="2" s="1"/>
  <c r="F421" i="2"/>
  <c r="F444" i="2"/>
  <c r="F446" i="2" s="1"/>
  <c r="F448" i="2" s="1"/>
  <c r="F29" i="2"/>
  <c r="F31" i="2" s="1"/>
  <c r="F32" i="2" s="1"/>
  <c r="F33" i="2" s="1"/>
  <c r="F105" i="2" l="1"/>
  <c r="F107" i="2" s="1"/>
  <c r="F108" i="2" s="1"/>
  <c r="F109" i="2" s="1"/>
  <c r="F174" i="2"/>
  <c r="F336" i="2"/>
  <c r="F337" i="2"/>
  <c r="F339" i="2" s="1"/>
  <c r="F422" i="2"/>
  <c r="F401" i="2"/>
  <c r="F403" i="2" s="1"/>
  <c r="F404" i="2" s="1"/>
  <c r="F405" i="2" s="1"/>
  <c r="F423" i="2"/>
  <c r="F425" i="2" s="1"/>
  <c r="F176" i="2"/>
  <c r="F178" i="2" s="1"/>
  <c r="F179" i="2" s="1"/>
  <c r="F180" i="2" s="1"/>
  <c r="F138" i="2"/>
  <c r="F139" i="2" s="1"/>
  <c r="F140" i="2" s="1"/>
  <c r="F450" i="2"/>
  <c r="F451" i="2" s="1"/>
  <c r="F452" i="2" s="1"/>
  <c r="F424" i="2"/>
  <c r="F374" i="2"/>
  <c r="F376" i="2" s="1"/>
  <c r="F377" i="2" s="1"/>
  <c r="F378" i="2" s="1"/>
  <c r="F468" i="2"/>
  <c r="F470" i="2" s="1"/>
  <c r="F471" i="2" s="1"/>
  <c r="F472" i="2" s="1"/>
  <c r="F426" i="2" l="1"/>
  <c r="F427" i="2" s="1"/>
  <c r="F428" i="2" s="1"/>
  <c r="F338" i="2"/>
  <c r="F340" i="2" s="1"/>
  <c r="F341" i="2" s="1"/>
  <c r="F342" i="2" s="1"/>
</calcChain>
</file>

<file path=xl/sharedStrings.xml><?xml version="1.0" encoding="utf-8"?>
<sst xmlns="http://schemas.openxmlformats.org/spreadsheetml/2006/main" count="2071" uniqueCount="275">
  <si>
    <t xml:space="preserve">UPGRADATION/RENOVATION OF SPL. TYPE MP’S FLATS AT BKS/BD MARG UNDER SUB-DIV.-IV OF PAWD-III, NEW DELHI, DG. 2025-26. (SH: PROVISION OF SHED WITH POLYCARBONATE SHEET TO COVER THE RAMPS OF BASEMENTS OF GANGA, YAMUNA, SARASWATI, NARMADA &amp; KAVERI). </t>
  </si>
  <si>
    <t>Client:</t>
  </si>
  <si>
    <t>CPWD</t>
  </si>
  <si>
    <t/>
  </si>
  <si>
    <t>Date:</t>
  </si>
  <si>
    <t>15/01/2026</t>
  </si>
  <si>
    <t>Sr.</t>
  </si>
  <si>
    <t>Item Code</t>
  </si>
  <si>
    <t>Description of Item</t>
  </si>
  <si>
    <t>Unit</t>
  </si>
  <si>
    <t>Qty</t>
  </si>
  <si>
    <t>Rate (₹)</t>
  </si>
  <si>
    <t>Amount (₹)</t>
  </si>
  <si>
    <t>4.1.3</t>
  </si>
  <si>
    <t>Providing and laying in position cement concrete of specified grade excluding the cost of centering and shuttering - All work up to plinth level :- 1:2:4 (1 cement : 2 coarse sand(zone-III) derived from natural sources : 4 graded stone aggregate 20 mm nominal size derived from natural sources)</t>
  </si>
  <si>
    <t>Cum</t>
  </si>
  <si>
    <t>4.1.10</t>
  </si>
  <si>
    <t>Providing and laying in position cement concrete of specified grade excluding the cost of centering and shuttering - All work up to plinth level :- 1:5:10 (1 cement : 5 coarse sand (zone-III) derived from natural sources : 10 graded stone aggregate 40 mm nominal size derived from natural sources)</t>
  </si>
  <si>
    <t>5.2.2</t>
  </si>
  <si>
    <t>Reinforced cement concrete work in walls (any thickness), including attached pilasters, buttresses, plinth and string courses, fillets, columns, pillars, piers, abutments, posts and struts etc. above plinth level up to floor five level, excluding cost of centering, shuttering, finishing and reinforcement :- 1:1.5:3 (1 cement : 1.5 coarse sand(zone-III)derived from natural sources : 3 graded stone aggregate 20 mm nominal size derived from natural sources)</t>
  </si>
  <si>
    <t>5.22A.6</t>
  </si>
  <si>
    <t>Steel reinforcement for R.C.C. work including straightening, cutting, bending, placing in position and binding all complete above plinth level. :- Thermo-Mechanically Treated bars of grade Fe-500D or more.</t>
  </si>
  <si>
    <t>Kg</t>
  </si>
  <si>
    <t>4.3.3</t>
  </si>
  <si>
    <t>Centering and shuttering including strutting, propping etc. and removal of form work for :- Columns, piers, abutments, pillars, posts and struts.</t>
  </si>
  <si>
    <t>Sqm</t>
  </si>
  <si>
    <t>8.6</t>
  </si>
  <si>
    <t>Mirror polishing on marble work/Granite work/stone work where ever required to give high gloss finish complete.</t>
  </si>
  <si>
    <t>10.20</t>
  </si>
  <si>
    <t>Providing and fixing bolts including nuts and washers complete.</t>
  </si>
  <si>
    <t>10.3</t>
  </si>
  <si>
    <t>Providing and fixing in position collapsible steel shutters with vertical channels 20x10x2 mm and braced with flat iron diagonals 20x5 mm size, with top and bottom rail of T-iron 40x40x6 mm, with 40 mm dia steel pulleys, complete with bolts, nuts, locking arrangement, stoppers, handles, including applying a priming coat of approved steel primer.</t>
  </si>
  <si>
    <t>10.16.1</t>
  </si>
  <si>
    <t>Steel work in built up tubular (round, square or rectangular hollow tubes etc.) trusses etc., including cutting, hoisting, fixing in position and applying a priming coat of approved steel primer, including welding and bolted with special shaped washers etc. complete. :- Hot finished welded type tubes.</t>
  </si>
  <si>
    <t>11.28.1</t>
  </si>
  <si>
    <t>40 mm thick fine dressed stone flooring over 20 mm (average) thick base of cement mortar 1:5 ( 1cement : 5 coarse sand) with joints finished flush. :- Red sand stone</t>
  </si>
  <si>
    <t>13.4.1</t>
  </si>
  <si>
    <t>12 mm cement plaster of mix :- 1:4 (1 cement: 4 coarse sand)</t>
  </si>
  <si>
    <t>15.2.1</t>
  </si>
  <si>
    <t>Demolishing cement concrete manually/ by mechanical means including disposal of material within 50 metres lead as per direction of Engineer - in - charge. :- Nominal concrete 1:3:6 or richer mix (i/c equivalent design mix)</t>
  </si>
  <si>
    <t>15.56</t>
  </si>
  <si>
    <t>Dismantling old plaster or skirting raking out joints and cleaning the surface for plaster including disposal of rubbish to the dumping ground within 50 metres lead.</t>
  </si>
  <si>
    <t>15.60</t>
  </si>
  <si>
    <t>Disposal of building rubbish / malba / similar unserviceable, dismantled or waste materials by mechanical means, including loading, transporting, unloading to approved municipal dumping ground or as approved by Engineer-in-charge, beyond 50 m initial lead, for all leads including all lifts involved.</t>
  </si>
  <si>
    <t>Say</t>
  </si>
  <si>
    <t>Cost per cum</t>
  </si>
  <si>
    <t>Cost of 1.00 cum</t>
  </si>
  <si>
    <t>Add Cess (1%)</t>
  </si>
  <si>
    <t>TOTAL</t>
  </si>
  <si>
    <t>Add 15% CPOH</t>
  </si>
  <si>
    <t>Add GST (0.2127)</t>
  </si>
  <si>
    <t>Add 1% Water charges on Taxable Base</t>
  </si>
  <si>
    <t>cum</t>
  </si>
  <si>
    <t>Carriage of Rubbish</t>
  </si>
  <si>
    <t>2264</t>
  </si>
  <si>
    <t>Details of cost for 1 cum</t>
  </si>
  <si>
    <t>Description</t>
  </si>
  <si>
    <t>Amount</t>
  </si>
  <si>
    <t>Rate</t>
  </si>
  <si>
    <t>1.00 cum</t>
  </si>
  <si>
    <t>Batch Unit:</t>
  </si>
  <si>
    <t>Description:</t>
  </si>
  <si>
    <t>Item Code:</t>
  </si>
  <si>
    <t>Cost per Unit</t>
  </si>
  <si>
    <t>Cost of 10.00 Unit</t>
  </si>
  <si>
    <t>L.S.</t>
  </si>
  <si>
    <t>Sundries for scaffolding etc</t>
  </si>
  <si>
    <t>9999</t>
  </si>
  <si>
    <t>day</t>
  </si>
  <si>
    <t>Bhisti</t>
  </si>
  <si>
    <t>0101</t>
  </si>
  <si>
    <t>Coolie</t>
  </si>
  <si>
    <t>0115</t>
  </si>
  <si>
    <t>Beldar</t>
  </si>
  <si>
    <t>0114</t>
  </si>
  <si>
    <t>LABOUR</t>
  </si>
  <si>
    <t>Detail of cost for 10 sqm</t>
  </si>
  <si>
    <t>10.00 Unit</t>
  </si>
  <si>
    <t>Cost of 1.00 Unit</t>
  </si>
  <si>
    <t>Sundries</t>
  </si>
  <si>
    <t>Detail of cost for 1 cum</t>
  </si>
  <si>
    <t>1.00 Unit</t>
  </si>
  <si>
    <t>Demolishing cement concrete manually/ by mechanical means including disposal of material within 50 metres lead as per direction of Engineer - in - charge. - Nominal concrete 1:3:6 or richer mix (i/c equivalent design mix)</t>
  </si>
  <si>
    <t>Scaffolding and sundries</t>
  </si>
  <si>
    <t>Mason (average)</t>
  </si>
  <si>
    <t>0155</t>
  </si>
  <si>
    <t>Rate as per Item Number 3.9 of SH: Mortars</t>
  </si>
  <si>
    <t>3.9</t>
  </si>
  <si>
    <t>Cement mortar 1 : 4 (1 cement : 4 coarse sand)</t>
  </si>
  <si>
    <t>MATERIAL</t>
  </si>
  <si>
    <t>12 mm cement plaster of mix : - 1:4 (1 cement: 4 coarse sand)</t>
  </si>
  <si>
    <t>Cost per sqm</t>
  </si>
  <si>
    <t>Cost of 10.00 sqm</t>
  </si>
  <si>
    <t>Bandhani</t>
  </si>
  <si>
    <t>0100</t>
  </si>
  <si>
    <t>Mason 1st class</t>
  </si>
  <si>
    <t>0123</t>
  </si>
  <si>
    <t>Rate as per Item Number 3.10 of SH: Mortars</t>
  </si>
  <si>
    <t>3.10</t>
  </si>
  <si>
    <t>Total=0.250cum.</t>
  </si>
  <si>
    <t>(ii) for joining = 0.026 cum.</t>
  </si>
  <si>
    <t>(i) for beading = 0.224 cum+</t>
  </si>
  <si>
    <t>Cement mortar 1 : 5 (1 cement : 5 coarse sand)</t>
  </si>
  <si>
    <t>Carriage</t>
  </si>
  <si>
    <t>9977</t>
  </si>
  <si>
    <t>sqm</t>
  </si>
  <si>
    <t>Red sand stone slab 40 mmthick (un-dressed)</t>
  </si>
  <si>
    <t>1164</t>
  </si>
  <si>
    <t>Total = 11 sqm</t>
  </si>
  <si>
    <t>Add for wastage @ 10% = 1 sqm</t>
  </si>
  <si>
    <t>Finished work = 10 sqm</t>
  </si>
  <si>
    <t>Details of cost for 10sqm.</t>
  </si>
  <si>
    <t>10.00 sqm</t>
  </si>
  <si>
    <t>40 mm thick fine dressed stone flooring over 20 mm (average) thick base of cement mortar 1:5 (1 cement : 5 coarse sand) with joints finished flush. - Red sand stone</t>
  </si>
  <si>
    <t>Blacksmith 1st class</t>
  </si>
  <si>
    <t>0102</t>
  </si>
  <si>
    <t>For cutting, assembling &amp; erection</t>
  </si>
  <si>
    <t>cm</t>
  </si>
  <si>
    <t>Welding by electric plant</t>
  </si>
  <si>
    <t>1215</t>
  </si>
  <si>
    <t>Total= 356.57cm say 357cm</t>
  </si>
  <si>
    <t>Members:- 2x4x2x22/7x4.83=242.87cm</t>
  </si>
  <si>
    <t>Ties:- 2x22/7x6.03=37.90cm.+</t>
  </si>
  <si>
    <t>Rafter:- 4x22/7x6.03 = 75.80cm.+</t>
  </si>
  <si>
    <t>Welding charges:-</t>
  </si>
  <si>
    <t>Rate as per item no 13.50.3 of SH : Finishing</t>
  </si>
  <si>
    <t>13.50.3</t>
  </si>
  <si>
    <t>Total = 3.80 sqm.</t>
  </si>
  <si>
    <t>40mm dia. tube 9.50x0.125m = 1.19 sqm.</t>
  </si>
  <si>
    <t>50mm dia. tube 16.60x0.157m = 2.61sqm.</t>
  </si>
  <si>
    <t>Priming coat</t>
  </si>
  <si>
    <t>tonne</t>
  </si>
  <si>
    <t>Carriage of Steel</t>
  </si>
  <si>
    <t>2205</t>
  </si>
  <si>
    <t>kg</t>
  </si>
  <si>
    <t>Mild steel tubes hot finished welded type</t>
  </si>
  <si>
    <t>4009</t>
  </si>
  <si>
    <t>Total = 124.90Kg. Say 125 kg</t>
  </si>
  <si>
    <t>Add wastage @ 5% = 5.94Kg.</t>
  </si>
  <si>
    <t>Total = 118.96kg.</t>
  </si>
  <si>
    <t>9.50m @ 3.61kg/m = 34.60Kg.</t>
  </si>
  <si>
    <t>Total = 2x4.75=9.50m</t>
  </si>
  <si>
    <t>Members = 2(0.45+1.25+0.90+2.15)</t>
  </si>
  <si>
    <t>40mm dia. tube</t>
  </si>
  <si>
    <t>16.60m @ 5.10kg./m = 84.66kg.</t>
  </si>
  <si>
    <t>Total = 16.60m</t>
  </si>
  <si>
    <t>Principal rafter 2x4.30m = 8.60m</t>
  </si>
  <si>
    <t>Tie beam-1x8.0m = 8.00m+</t>
  </si>
  <si>
    <t>50mm dia. tube</t>
  </si>
  <si>
    <t>weight = 119 kg.</t>
  </si>
  <si>
    <t>Details of cost for a truss of span 8 metre</t>
  </si>
  <si>
    <t>Steel work in built up tubular (round, square or rectangular hollow tubes etc.) trusses etc., including cutting, hoisting, fixing in position and applying a priming coat of approved steel primer, including welding and bolted with special shaped washers etc. complete. - Hot finished welded type tubes</t>
  </si>
  <si>
    <t>Cost of 3.60 sqm</t>
  </si>
  <si>
    <t>Mason 2nd class</t>
  </si>
  <si>
    <t>0124</t>
  </si>
  <si>
    <t>Blacksmith 2nd class</t>
  </si>
  <si>
    <t>0103</t>
  </si>
  <si>
    <t>Fitter (grade 1)</t>
  </si>
  <si>
    <t>0116</t>
  </si>
  <si>
    <t>Total = 10.50sqm.</t>
  </si>
  <si>
    <t>Flats-0.05x68 = 3.40sqm.</t>
  </si>
  <si>
    <t>Tee-0.16x3.3 = 0.53sqm.+</t>
  </si>
  <si>
    <t>Channel - 36x0.076x2.4 = 6.57sqm.+</t>
  </si>
  <si>
    <t>Priming coat-</t>
  </si>
  <si>
    <t>each</t>
  </si>
  <si>
    <t>Pully 40 mm dia</t>
  </si>
  <si>
    <t>4013</t>
  </si>
  <si>
    <t>Cost of locking arrangements and handles</t>
  </si>
  <si>
    <t>Cost of rivets fixing hooks and washers</t>
  </si>
  <si>
    <t>(0.053+0.013+0.060=0.126 tonne)</t>
  </si>
  <si>
    <t>quintal</t>
  </si>
  <si>
    <t>Flats upto 10 mm in thickness</t>
  </si>
  <si>
    <t>1008</t>
  </si>
  <si>
    <t>Total = 60.08kg = 0.60q</t>
  </si>
  <si>
    <t>Add wastage @10% = 5.46kg</t>
  </si>
  <si>
    <t>68.275m @ 0.8kg/m = 54.62kg+</t>
  </si>
  <si>
    <t>4x32x0.5334 = 68.275m</t>
  </si>
  <si>
    <t>20mmx5mm flat iron diagonals 4 Nos.</t>
  </si>
  <si>
    <t>Structurals such as tees,angles channels and R.S. joists</t>
  </si>
  <si>
    <t>1007</t>
  </si>
  <si>
    <t>Total = 12.705Kg. Say 0.13q</t>
  </si>
  <si>
    <t>Add wastage @ 10% = 1.155 Kg.</t>
  </si>
  <si>
    <t>3.3m @ 3.5kg/m = 11.55kg+</t>
  </si>
  <si>
    <t>Total =3.295m Say 3.3m</t>
  </si>
  <si>
    <t>for top = 1.725m</t>
  </si>
  <si>
    <t>for bottom-1.570m+</t>
  </si>
  <si>
    <t>M.S. Tee-40x40x6mm</t>
  </si>
  <si>
    <t>95.04m@0.56kg/m =53.22kg=0.53q</t>
  </si>
  <si>
    <t>Total = 95.04m</t>
  </si>
  <si>
    <t>Add wastage @ 10% = 8.64m</t>
  </si>
  <si>
    <t>2x18x2.4 = 86.40m+</t>
  </si>
  <si>
    <t>20x10x2mm @ 0.56kg/m</t>
  </si>
  <si>
    <t>M.S. channels 18 Nos. on both sides</t>
  </si>
  <si>
    <t>Details of cost for a gate 2.4mx1.5m = 3.6sqm.</t>
  </si>
  <si>
    <t>3.60 sqm</t>
  </si>
  <si>
    <t>Cost per q</t>
  </si>
  <si>
    <t>Cost of 0.10 q</t>
  </si>
  <si>
    <t>Bolts and nuts upto 300 mm in length</t>
  </si>
  <si>
    <t>1034</t>
  </si>
  <si>
    <t>Details of cost for 0.10q of nuts and washers</t>
  </si>
  <si>
    <t>0.10 q</t>
  </si>
  <si>
    <t>Sundries grease, mop grinding stones etc.</t>
  </si>
  <si>
    <t>Machine for rubbing of floors</t>
  </si>
  <si>
    <t>0013</t>
  </si>
  <si>
    <t>Details of cost for 10 sqm.</t>
  </si>
  <si>
    <t>Cost of 4.50 Unit</t>
  </si>
  <si>
    <t>Shuttering oil</t>
  </si>
  <si>
    <t>CARRIAGE</t>
  </si>
  <si>
    <t>Assembly nut &amp; bolt</t>
  </si>
  <si>
    <t>Qty taken for cost of using once =4x0.85/40 = 0.085</t>
  </si>
  <si>
    <t>Prop 2 m ( 2-3.5m)</t>
  </si>
  <si>
    <t>7334</t>
  </si>
  <si>
    <t>Qty taken for cost of using once =5x0.85/40 = 0.1063</t>
  </si>
  <si>
    <t>Column clamp 450x1070 mm</t>
  </si>
  <si>
    <t>7333</t>
  </si>
  <si>
    <t>Corner angle 45x45x5 mm 2.50 m long</t>
  </si>
  <si>
    <t>7332</t>
  </si>
  <si>
    <t>Qty taken for cost of using once = 8x0.85/40 = 0.17</t>
  </si>
  <si>
    <t>Wall form panel 1250x450 mm</t>
  </si>
  <si>
    <t>7331</t>
  </si>
  <si>
    <t>Less salvage value of material after full use @ 25% of cost of material</t>
  </si>
  <si>
    <t>Add maintenance charges @ 10% of cost of material</t>
  </si>
  <si>
    <t>Assuming shuttering will become unserviceable after use of 40 times</t>
  </si>
  <si>
    <t>Area of contact = 4x0.45x2.5 = 4.5 sqm.</t>
  </si>
  <si>
    <t>Size of column 450x450mm and 2.5m high</t>
  </si>
  <si>
    <t>Detail of cost for 4.5sqm</t>
  </si>
  <si>
    <t>4.50 Unit</t>
  </si>
  <si>
    <t>Centering and shuttering including strutting, propping etc. and removal of form work for : - Columns, piers, abutments, pillars, posts and struts</t>
  </si>
  <si>
    <t>Cost per quintal</t>
  </si>
  <si>
    <t>Cost of 1.00 quintal</t>
  </si>
  <si>
    <t>Sundries and binding wire</t>
  </si>
  <si>
    <t>For straightening, cutting, bending, binding and placing in position-</t>
  </si>
  <si>
    <t>Cover block</t>
  </si>
  <si>
    <t>Twisted steel / deformed bars</t>
  </si>
  <si>
    <t>1005</t>
  </si>
  <si>
    <t>Total =1.05q</t>
  </si>
  <si>
    <t>Wastage 5% = 0.05 q</t>
  </si>
  <si>
    <t>Deformed twisted steel bars = 1.00 q</t>
  </si>
  <si>
    <t>Details of cost for 1 quintal-</t>
  </si>
  <si>
    <t>1.00 quintal</t>
  </si>
  <si>
    <t>Steel reinforcement for R.C.C. work including straightening, cutting, bending, placing in position and binding all complete upto plinth level. - Thermo-Mechanically Treated bars of grade Fe-500D or more.</t>
  </si>
  <si>
    <t>Cost of 91.80 cum</t>
  </si>
  <si>
    <t>0.75x2.0x91.80 = 137.7</t>
  </si>
  <si>
    <t>Extra labour for lifting of material upto floor V level:</t>
  </si>
  <si>
    <t>Scaffolding</t>
  </si>
  <si>
    <t>Vibrator(Needle type 40mm)</t>
  </si>
  <si>
    <t>0012</t>
  </si>
  <si>
    <t>Hire charges of Concrete Mixer 0.25 to 0.40 cum with hooper</t>
  </si>
  <si>
    <t>0002</t>
  </si>
  <si>
    <t>Carriage of Cement</t>
  </si>
  <si>
    <t>2209</t>
  </si>
  <si>
    <t>Portland Cement (0.2833 cum)</t>
  </si>
  <si>
    <t>0367</t>
  </si>
  <si>
    <t>Carriage of Coarse sand</t>
  </si>
  <si>
    <t>2203</t>
  </si>
  <si>
    <t>Coarse sand (zone III)</t>
  </si>
  <si>
    <t>0982</t>
  </si>
  <si>
    <t>Carriage of Stone aggregate below 40 mm nominal size</t>
  </si>
  <si>
    <t>2202</t>
  </si>
  <si>
    <t>Stone Aggregate (Single size) : 10 mm nominal size</t>
  </si>
  <si>
    <t>0297</t>
  </si>
  <si>
    <t>Stone Aggregate (Single size) : 20 mm nominal size</t>
  </si>
  <si>
    <t>0295</t>
  </si>
  <si>
    <t>Details of cost for 10x9.18 cum =91.80 cum</t>
  </si>
  <si>
    <t>91.80 cum</t>
  </si>
  <si>
    <t>Reinforced cement concrete work in walls (any thickness), including attached pilasters, buttresses, plinth and string courses, fillets, columns, pillars, piers, abutments, posts and struts etc. above plinth level up to floor five level, excluding cost of centering, shuttering, finishing and reinforcement : - 1:1.5:3 (1 cement : 1.5 coarse sand(zone-III) derived from natural sources : 3 graded stone aggregate 20 mm nominal size derived from natural sources)</t>
  </si>
  <si>
    <t>Portland Cement (0.2225 cum)</t>
  </si>
  <si>
    <t>Carriage of Stone aggregate 40 mm nominal size and above</t>
  </si>
  <si>
    <t>2206</t>
  </si>
  <si>
    <t>(0.70 cum - 7.5% for voids i.e. 0.05 = 0.65 cum)</t>
  </si>
  <si>
    <t>Stone Aggregate (Single size) : 40 mm nominal size</t>
  </si>
  <si>
    <t>0293</t>
  </si>
  <si>
    <t>Details of cost for 1 cum.</t>
  </si>
  <si>
    <t>Providing and laying in position cement concrete of specified grade excluding the cost of centering and shuttering - All work up to plinth level : - 1:5:10 (1 cement : 5 coarse sand (zone-III) derived from natural sources : 10 graded stone aggregate 40 mm nominal size derived from natural sources)</t>
  </si>
  <si>
    <t>Providing and laying in position cement concrete of specified grade excluding the cost of centering and shuttering - All work up to plinth level : - 1:2:4 (1 cement : 2 coarse sand (zone-III) derived from natural sources : 4 graded stone aggregate 20 mm nominal size derived from natural sources)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</si>
</sst>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3" x14ac:knownFonts="1">
    <font>
      <sz val="11"/>
      <color theme="1"/>
      <name val="Calibri"/>
      <family val="2"/>
      <scheme val="minor"/>
    </font>
    <font>
      <b/>
      <sz val="14"/>
      <name val="Arial"/>
      <family val="2"/>
    </font>
    <font>
      <b/>
      <sz val="10"/>
      <name val="Arial"/>
      <family val="2"/>
    </font>
    <font>
      <sz val="10"/>
      <name val="Arial"/>
      <family val="2"/>
    </font>
    <font>
      <b/>
      <sz val="11"/>
      <name val="Arial"/>
      <family val="2"/>
    </font>
    <font>
      <b/>
      <sz val="12"/>
      <color rgb="FF008000"/>
      <name val="Times New Roman"/>
      <family val="1"/>
    </font>
    <font>
      <b/>
      <sz val="11"/>
      <name val="Times New Roman"/>
      <family val="1"/>
    </font>
    <font>
      <b/>
      <sz val="12"/>
      <color rgb="FF000000"/>
      <name val="Times New Roman"/>
      <family val="1"/>
    </font>
    <font>
      <sz val="11"/>
      <name val="Times New Roman"/>
      <family val="1"/>
    </font>
    <font>
      <i/>
      <sz val="11"/>
      <color rgb="FF555555"/>
      <name val="Times New Roman"/>
      <family val="1"/>
    </font>
    <font>
      <b/>
      <sz val="11"/>
      <color rgb="FFFFFFFF"/>
      <name val="Times New Roman"/>
      <family val="1"/>
    </font>
    <font>
      <i/>
      <sz val="11"/>
      <color rgb="FF666666"/>
      <name val="Times New Roman"/>
      <family val="1"/>
    </font>
    <font>
      <b/>
      <sz val="14"/>
      <name val="Times New Roman"/>
      <family val="1"/>
    </font>
  </fonts>
  <fills count="5">
    <fill>
      <patternFill patternType="none"/>
    </fill>
    <fill>
      <patternFill patternType="gray125"/>
    </fill>
    <fill>
      <patternFill patternType="solid">
        <fgColor rgb="FFEEEEEE"/>
      </patternFill>
    </fill>
    <fill>
      <patternFill patternType="solid">
        <fgColor rgb="FFFFFF00"/>
      </patternFill>
    </fill>
    <fill>
      <patternFill patternType="solid">
        <fgColor rgb="FF4472C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2" fillId="0" borderId="0" xfId="0" applyFont="1"/>
    <xf numFmtId="0" fontId="2" fillId="2" borderId="1" xfId="0" applyFont="1" applyFill="1" applyBorder="1" applyAlignment="1">
      <alignment horizontal="center" vertical="center"/>
    </xf>
    <xf numFmtId="0" fontId="3" fillId="0" borderId="1" xfId="0" applyFont="1" applyBorder="1" applyAlignment="1">
      <alignment horizontal="center" vertical="top"/>
    </xf>
    <xf numFmtId="0" fontId="3" fillId="0" borderId="1" xfId="0" applyFont="1" applyBorder="1" applyAlignment="1">
      <alignment vertical="top" wrapText="1"/>
    </xf>
    <xf numFmtId="4" fontId="3" fillId="0" borderId="1" xfId="0" applyNumberFormat="1" applyFont="1" applyBorder="1" applyAlignment="1">
      <alignment horizontal="right" vertical="top"/>
    </xf>
    <xf numFmtId="0" fontId="4" fillId="3" borderId="1" xfId="0" applyFont="1" applyFill="1" applyBorder="1"/>
    <xf numFmtId="4" fontId="4" fillId="3" borderId="1" xfId="0" applyNumberFormat="1" applyFont="1" applyFill="1" applyBorder="1"/>
    <xf numFmtId="0" fontId="4" fillId="3" borderId="1" xfId="0" applyFont="1" applyFill="1" applyBorder="1" applyAlignment="1">
      <alignment horizontal="right" vertical="center"/>
    </xf>
    <xf numFmtId="0" fontId="1" fillId="0" borderId="0" xfId="0" applyFont="1" applyAlignment="1">
      <alignment horizontal="center" vertical="center" wrapText="1"/>
    </xf>
    <xf numFmtId="4" fontId="5" fillId="0" borderId="1" xfId="0" applyNumberFormat="1" applyFont="1" applyBorder="1"/>
    <xf numFmtId="0" fontId="6" fillId="0" borderId="1" xfId="0" applyFont="1" applyBorder="1" applyAlignment="1">
      <alignment horizontal="right" vertical="center"/>
    </xf>
    <xf numFmtId="0" fontId="6" fillId="0" borderId="1" xfId="0" applyFont="1" applyBorder="1"/>
    <xf numFmtId="4" fontId="7" fillId="0" borderId="1" xfId="0" applyNumberFormat="1" applyFont="1" applyBorder="1"/>
    <xf numFmtId="4" fontId="6" fillId="0" borderId="1" xfId="0" applyNumberFormat="1" applyFont="1" applyBorder="1"/>
    <xf numFmtId="4" fontId="8" fillId="0" borderId="1" xfId="0" applyNumberFormat="1" applyFont="1" applyBorder="1"/>
    <xf numFmtId="0" fontId="8" fillId="0" borderId="1" xfId="0" applyFont="1" applyBorder="1"/>
    <xf numFmtId="164" fontId="8" fillId="0" borderId="1" xfId="0" applyNumberFormat="1" applyFont="1" applyBorder="1"/>
    <xf numFmtId="0" fontId="8" fillId="0" borderId="1" xfId="0" applyFont="1" applyBorder="1" applyAlignment="1">
      <alignment horizontal="left" vertical="center" wrapText="1"/>
    </xf>
    <xf numFmtId="0" fontId="0" fillId="0" borderId="1" xfId="0" applyBorder="1"/>
    <xf numFmtId="0" fontId="9" fillId="0" borderId="1" xfId="0" applyFont="1" applyBorder="1" applyAlignment="1">
      <alignment horizontal="left" vertical="center" wrapText="1"/>
    </xf>
    <xf numFmtId="0" fontId="10" fillId="4" borderId="1" xfId="0" applyFont="1" applyFill="1" applyBorder="1" applyAlignment="1">
      <alignment horizontal="center"/>
    </xf>
    <xf numFmtId="0" fontId="6" fillId="0" borderId="1" xfId="0" applyFont="1" applyBorder="1" applyAlignment="1">
      <alignment horizontal="left" vertical="center" wrapText="1"/>
    </xf>
    <xf numFmtId="0" fontId="11" fillId="0" borderId="1" xfId="0" applyFont="1" applyBorder="1" applyAlignment="1">
      <alignment horizontal="left" vertical="center" wrapText="1"/>
    </xf>
    <xf numFmtId="0" fontId="1" fillId="0" borderId="0" xfId="0" applyFont="1" applyAlignment="1">
      <alignment vertical="center" wrapText="1"/>
    </xf>
    <xf numFmtId="0" fontId="6" fillId="0" borderId="2" xfId="0" applyFont="1" applyBorder="1"/>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0"/>
  <sheetViews>
    <sheetView zoomScale="82" zoomScaleNormal="73" workbookViewId="0">
      <selection activeCell="C8" sqref="C8"/>
    </sheetView>
  </sheetViews>
  <sheetFormatPr defaultRowHeight="14.4" x14ac:dyDescent="0.3"/>
  <cols>
    <col min="1" max="1" width="8" customWidth="1"/>
    <col min="2" max="2" width="12" customWidth="1"/>
    <col min="3" max="3" width="50" customWidth="1"/>
    <col min="4" max="4" width="10" customWidth="1"/>
    <col min="5" max="5" width="12" customWidth="1"/>
    <col min="6" max="6" width="15" customWidth="1"/>
    <col min="7" max="7" width="18" customWidth="1"/>
  </cols>
  <sheetData>
    <row r="1" spans="1:7" ht="97.2" customHeight="1" x14ac:dyDescent="0.3">
      <c r="A1" s="9" t="s">
        <v>0</v>
      </c>
      <c r="B1" s="9"/>
      <c r="C1" s="9"/>
      <c r="D1" s="9"/>
      <c r="E1" s="9"/>
      <c r="F1" s="9"/>
      <c r="G1" s="9"/>
    </row>
    <row r="3" spans="1:7" s="1" customFormat="1" ht="13.2" x14ac:dyDescent="0.25">
      <c r="A3" s="1" t="s">
        <v>1</v>
      </c>
      <c r="B3" s="1" t="s">
        <v>2</v>
      </c>
      <c r="C3" s="1" t="s">
        <v>3</v>
      </c>
      <c r="D3" s="1" t="s">
        <v>3</v>
      </c>
      <c r="E3" s="1" t="s">
        <v>4</v>
      </c>
      <c r="F3" s="1" t="s">
        <v>5</v>
      </c>
      <c r="G3" s="1" t="s">
        <v>3</v>
      </c>
    </row>
    <row r="5" spans="1:7" ht="19.95" customHeight="1" x14ac:dyDescent="0.3">
      <c r="A5" s="2" t="s">
        <v>6</v>
      </c>
      <c r="B5" s="2" t="s">
        <v>7</v>
      </c>
      <c r="C5" s="2" t="s">
        <v>8</v>
      </c>
      <c r="D5" s="2" t="s">
        <v>9</v>
      </c>
      <c r="E5" s="2" t="s">
        <v>10</v>
      </c>
      <c r="F5" s="2" t="s">
        <v>11</v>
      </c>
      <c r="G5" s="2" t="s">
        <v>12</v>
      </c>
    </row>
    <row r="6" spans="1:7" ht="79.2" x14ac:dyDescent="0.3">
      <c r="A6" s="3">
        <v>1</v>
      </c>
      <c r="B6" s="3" t="s">
        <v>13</v>
      </c>
      <c r="C6" s="4" t="s">
        <v>14</v>
      </c>
      <c r="D6" s="3" t="s">
        <v>15</v>
      </c>
      <c r="E6" s="3">
        <v>7</v>
      </c>
      <c r="F6" s="5">
        <v>7878.5</v>
      </c>
      <c r="G6" s="5">
        <v>55149.5</v>
      </c>
    </row>
    <row r="7" spans="1:7" ht="79.2" x14ac:dyDescent="0.3">
      <c r="A7" s="3">
        <v>2</v>
      </c>
      <c r="B7" s="3" t="s">
        <v>16</v>
      </c>
      <c r="C7" s="4" t="s">
        <v>17</v>
      </c>
      <c r="D7" s="3" t="s">
        <v>15</v>
      </c>
      <c r="E7" s="3">
        <v>10</v>
      </c>
      <c r="F7" s="5">
        <v>6518.6</v>
      </c>
      <c r="G7" s="5">
        <v>65186</v>
      </c>
    </row>
    <row r="8" spans="1:7" ht="105.6" x14ac:dyDescent="0.3">
      <c r="A8" s="3">
        <v>3</v>
      </c>
      <c r="B8" s="3" t="s">
        <v>18</v>
      </c>
      <c r="C8" s="4" t="s">
        <v>19</v>
      </c>
      <c r="D8" s="3" t="s">
        <v>15</v>
      </c>
      <c r="E8" s="3">
        <v>4</v>
      </c>
      <c r="F8" s="5">
        <v>10852.95</v>
      </c>
      <c r="G8" s="5">
        <v>43411.8</v>
      </c>
    </row>
    <row r="9" spans="1:7" ht="52.8" x14ac:dyDescent="0.3">
      <c r="A9" s="3">
        <v>4</v>
      </c>
      <c r="B9" s="3" t="s">
        <v>20</v>
      </c>
      <c r="C9" s="4" t="s">
        <v>21</v>
      </c>
      <c r="D9" s="3" t="s">
        <v>22</v>
      </c>
      <c r="E9" s="3">
        <v>500</v>
      </c>
      <c r="F9" s="5">
        <v>107.85</v>
      </c>
      <c r="G9" s="5">
        <v>53925</v>
      </c>
    </row>
    <row r="10" spans="1:7" ht="39.6" x14ac:dyDescent="0.3">
      <c r="A10" s="3">
        <v>5</v>
      </c>
      <c r="B10" s="3" t="s">
        <v>23</v>
      </c>
      <c r="C10" s="4" t="s">
        <v>24</v>
      </c>
      <c r="D10" s="3" t="s">
        <v>25</v>
      </c>
      <c r="E10" s="3">
        <v>50</v>
      </c>
      <c r="F10" s="5">
        <v>961.3</v>
      </c>
      <c r="G10" s="5">
        <v>48065</v>
      </c>
    </row>
    <row r="11" spans="1:7" ht="26.4" x14ac:dyDescent="0.3">
      <c r="A11" s="3">
        <v>6</v>
      </c>
      <c r="B11" s="3" t="s">
        <v>26</v>
      </c>
      <c r="C11" s="4" t="s">
        <v>27</v>
      </c>
      <c r="D11" s="3" t="s">
        <v>25</v>
      </c>
      <c r="E11" s="3">
        <v>150</v>
      </c>
      <c r="F11" s="5">
        <v>506.7</v>
      </c>
      <c r="G11" s="5">
        <v>76005</v>
      </c>
    </row>
    <row r="12" spans="1:7" ht="26.4" x14ac:dyDescent="0.3">
      <c r="A12" s="3">
        <v>7</v>
      </c>
      <c r="B12" s="3" t="s">
        <v>28</v>
      </c>
      <c r="C12" s="4" t="s">
        <v>29</v>
      </c>
      <c r="D12" s="3" t="s">
        <v>22</v>
      </c>
      <c r="E12" s="3">
        <v>1900</v>
      </c>
      <c r="F12" s="5">
        <v>159.35</v>
      </c>
      <c r="G12" s="5">
        <v>302765</v>
      </c>
    </row>
    <row r="13" spans="1:7" ht="79.2" x14ac:dyDescent="0.3">
      <c r="A13" s="3">
        <v>8</v>
      </c>
      <c r="B13" s="3" t="s">
        <v>30</v>
      </c>
      <c r="C13" s="4" t="s">
        <v>31</v>
      </c>
      <c r="D13" s="3" t="s">
        <v>25</v>
      </c>
      <c r="E13" s="3">
        <v>85</v>
      </c>
      <c r="F13" s="5">
        <v>11439.6</v>
      </c>
      <c r="G13" s="5">
        <v>972366</v>
      </c>
    </row>
    <row r="14" spans="1:7" ht="79.2" x14ac:dyDescent="0.3">
      <c r="A14" s="3">
        <v>9</v>
      </c>
      <c r="B14" s="3" t="s">
        <v>32</v>
      </c>
      <c r="C14" s="4" t="s">
        <v>33</v>
      </c>
      <c r="D14" s="3" t="s">
        <v>22</v>
      </c>
      <c r="E14" s="3">
        <v>25000</v>
      </c>
      <c r="F14" s="5">
        <v>194.4</v>
      </c>
      <c r="G14" s="5">
        <v>4860000</v>
      </c>
    </row>
    <row r="15" spans="1:7" ht="39.6" x14ac:dyDescent="0.3">
      <c r="A15" s="3">
        <v>10</v>
      </c>
      <c r="B15" s="3" t="s">
        <v>34</v>
      </c>
      <c r="C15" s="4" t="s">
        <v>35</v>
      </c>
      <c r="D15" s="3" t="s">
        <v>25</v>
      </c>
      <c r="E15" s="3">
        <v>50</v>
      </c>
      <c r="F15" s="5">
        <v>1280.0999999999999</v>
      </c>
      <c r="G15" s="5">
        <v>64004.999999999993</v>
      </c>
    </row>
    <row r="16" spans="1:7" ht="26.4" x14ac:dyDescent="0.3">
      <c r="A16" s="3">
        <v>11</v>
      </c>
      <c r="B16" s="3" t="s">
        <v>36</v>
      </c>
      <c r="C16" s="4" t="s">
        <v>37</v>
      </c>
      <c r="D16" s="3" t="s">
        <v>25</v>
      </c>
      <c r="E16" s="3">
        <v>150</v>
      </c>
      <c r="F16" s="5">
        <v>357.35</v>
      </c>
      <c r="G16" s="5">
        <v>53602.5</v>
      </c>
    </row>
    <row r="17" spans="1:7" ht="52.8" x14ac:dyDescent="0.3">
      <c r="A17" s="3">
        <v>12</v>
      </c>
      <c r="B17" s="3" t="s">
        <v>38</v>
      </c>
      <c r="C17" s="4" t="s">
        <v>39</v>
      </c>
      <c r="D17" s="3" t="s">
        <v>15</v>
      </c>
      <c r="E17" s="3">
        <v>3</v>
      </c>
      <c r="F17" s="5">
        <v>2434.25</v>
      </c>
      <c r="G17" s="5">
        <v>7302.75</v>
      </c>
    </row>
    <row r="18" spans="1:7" ht="39.6" x14ac:dyDescent="0.3">
      <c r="A18" s="3">
        <v>13</v>
      </c>
      <c r="B18" s="3" t="s">
        <v>40</v>
      </c>
      <c r="C18" s="4" t="s">
        <v>41</v>
      </c>
      <c r="D18" s="3" t="s">
        <v>25</v>
      </c>
      <c r="E18" s="3">
        <v>50</v>
      </c>
      <c r="F18" s="5">
        <v>54.65</v>
      </c>
      <c r="G18" s="5">
        <v>2732.5</v>
      </c>
    </row>
    <row r="19" spans="1:7" ht="79.2" x14ac:dyDescent="0.3">
      <c r="A19" s="3">
        <v>14</v>
      </c>
      <c r="B19" s="3" t="s">
        <v>42</v>
      </c>
      <c r="C19" s="4" t="s">
        <v>43</v>
      </c>
      <c r="D19" s="3" t="s">
        <v>15</v>
      </c>
      <c r="E19" s="3">
        <v>50</v>
      </c>
      <c r="F19" s="5">
        <v>263.95</v>
      </c>
      <c r="G19" s="5">
        <v>13197.5</v>
      </c>
    </row>
    <row r="20" spans="1:7" ht="19.95" customHeight="1" x14ac:dyDescent="0.3">
      <c r="A20" s="8" t="s">
        <v>3</v>
      </c>
      <c r="B20" s="8"/>
      <c r="C20" s="8"/>
      <c r="D20" s="6" t="s">
        <v>3</v>
      </c>
      <c r="E20" s="6" t="s">
        <v>3</v>
      </c>
      <c r="F20" s="6" t="s">
        <v>3</v>
      </c>
      <c r="G20" s="7">
        <v>6617713.5499999998</v>
      </c>
    </row>
  </sheetData>
  <mergeCells count="2">
    <mergeCell ref="A1:G1"/>
    <mergeCell ref="A20:C20"/>
  </mergeCells>
  <pageMargins left="0.7" right="0.7" top="0.75" bottom="0.75" header="0.3" footer="0.3"/>
  <pageSetup scale="97" fitToHeight="0"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0F4DA-9555-45D5-9FE7-42C6EC9BE0EB}">
  <sheetPr>
    <pageSetUpPr fitToPage="1"/>
  </sheetPr>
  <dimension ref="A1:G472"/>
  <sheetViews>
    <sheetView tabSelected="1" workbookViewId="0">
      <selection activeCell="H3" sqref="H3"/>
    </sheetView>
  </sheetViews>
  <sheetFormatPr defaultRowHeight="14.4" x14ac:dyDescent="0.3"/>
  <cols>
    <col min="1" max="1" width="12" customWidth="1"/>
    <col min="2" max="2" width="60" customWidth="1"/>
    <col min="3" max="3" width="10" customWidth="1"/>
    <col min="4" max="4" width="12" customWidth="1"/>
    <col min="5" max="5" width="15" customWidth="1"/>
    <col min="6" max="6" width="18" customWidth="1"/>
  </cols>
  <sheetData>
    <row r="1" spans="1:7" ht="82.8" customHeight="1" x14ac:dyDescent="0.3">
      <c r="A1" s="26" t="s">
        <v>0</v>
      </c>
      <c r="B1" s="27"/>
      <c r="C1" s="27"/>
      <c r="D1" s="27"/>
      <c r="E1" s="27"/>
      <c r="F1" s="28"/>
      <c r="G1" s="24"/>
    </row>
    <row r="2" spans="1:7" x14ac:dyDescent="0.3">
      <c r="A2" s="25" t="s">
        <v>62</v>
      </c>
      <c r="B2" s="25" t="s">
        <v>13</v>
      </c>
    </row>
    <row r="3" spans="1:7" ht="48" customHeight="1" x14ac:dyDescent="0.3">
      <c r="A3" s="12" t="s">
        <v>61</v>
      </c>
      <c r="B3" s="22" t="s">
        <v>274</v>
      </c>
      <c r="C3" s="22"/>
      <c r="D3" s="22"/>
      <c r="E3" s="22"/>
      <c r="F3" s="22"/>
    </row>
    <row r="4" spans="1:7" x14ac:dyDescent="0.3">
      <c r="A4" s="12" t="s">
        <v>60</v>
      </c>
      <c r="B4" s="12" t="s">
        <v>59</v>
      </c>
    </row>
    <row r="5" spans="1:7" x14ac:dyDescent="0.3">
      <c r="A5" s="21" t="s">
        <v>7</v>
      </c>
      <c r="B5" s="21" t="s">
        <v>56</v>
      </c>
      <c r="C5" s="21" t="s">
        <v>9</v>
      </c>
      <c r="D5" s="21" t="s">
        <v>10</v>
      </c>
      <c r="E5" s="21" t="s">
        <v>58</v>
      </c>
      <c r="F5" s="21" t="s">
        <v>57</v>
      </c>
    </row>
    <row r="6" spans="1:7" ht="16.05" customHeight="1" x14ac:dyDescent="0.3">
      <c r="A6" s="19" t="s">
        <v>3</v>
      </c>
      <c r="B6" s="20" t="s">
        <v>56</v>
      </c>
      <c r="C6" s="19" t="s">
        <v>3</v>
      </c>
      <c r="D6" s="19" t="s">
        <v>3</v>
      </c>
      <c r="E6" s="19" t="s">
        <v>3</v>
      </c>
      <c r="F6" s="19" t="s">
        <v>3</v>
      </c>
    </row>
    <row r="7" spans="1:7" ht="16.05" customHeight="1" x14ac:dyDescent="0.3">
      <c r="A7" s="19" t="s">
        <v>3</v>
      </c>
      <c r="B7" s="20" t="s">
        <v>272</v>
      </c>
      <c r="C7" s="19" t="s">
        <v>3</v>
      </c>
      <c r="D7" s="19" t="s">
        <v>3</v>
      </c>
      <c r="E7" s="19" t="s">
        <v>3</v>
      </c>
      <c r="F7" s="19" t="s">
        <v>3</v>
      </c>
    </row>
    <row r="8" spans="1:7" ht="16.05" customHeight="1" x14ac:dyDescent="0.3">
      <c r="A8" s="19" t="s">
        <v>3</v>
      </c>
      <c r="B8" s="20" t="s">
        <v>89</v>
      </c>
      <c r="C8" s="19" t="s">
        <v>3</v>
      </c>
      <c r="D8" s="19" t="s">
        <v>3</v>
      </c>
      <c r="E8" s="19" t="s">
        <v>3</v>
      </c>
      <c r="F8" s="19" t="s">
        <v>3</v>
      </c>
    </row>
    <row r="9" spans="1:7" ht="16.05" customHeight="1" x14ac:dyDescent="0.3">
      <c r="A9" s="16" t="s">
        <v>262</v>
      </c>
      <c r="B9" s="18" t="s">
        <v>261</v>
      </c>
      <c r="C9" s="16" t="s">
        <v>52</v>
      </c>
      <c r="D9" s="17">
        <v>0.67</v>
      </c>
      <c r="E9" s="15">
        <v>1425</v>
      </c>
      <c r="F9" s="15">
        <f>D9*E9</f>
        <v>954.75000000000011</v>
      </c>
    </row>
    <row r="10" spans="1:7" ht="16.05" customHeight="1" x14ac:dyDescent="0.3">
      <c r="A10" s="16" t="s">
        <v>260</v>
      </c>
      <c r="B10" s="18" t="s">
        <v>259</v>
      </c>
      <c r="C10" s="16" t="s">
        <v>52</v>
      </c>
      <c r="D10" s="17">
        <v>0.22</v>
      </c>
      <c r="E10" s="15">
        <v>1400</v>
      </c>
      <c r="F10" s="15">
        <f>D10*E10</f>
        <v>308</v>
      </c>
    </row>
    <row r="11" spans="1:7" ht="16.05" customHeight="1" x14ac:dyDescent="0.3">
      <c r="A11" s="16" t="s">
        <v>258</v>
      </c>
      <c r="B11" s="18" t="s">
        <v>257</v>
      </c>
      <c r="C11" s="16" t="s">
        <v>52</v>
      </c>
      <c r="D11" s="17">
        <v>0.89</v>
      </c>
      <c r="E11" s="15">
        <v>0</v>
      </c>
      <c r="F11" s="15">
        <f>D11*E11</f>
        <v>0</v>
      </c>
    </row>
    <row r="12" spans="1:7" ht="16.05" customHeight="1" x14ac:dyDescent="0.3">
      <c r="A12" s="16" t="s">
        <v>256</v>
      </c>
      <c r="B12" s="18" t="s">
        <v>255</v>
      </c>
      <c r="C12" s="16" t="s">
        <v>52</v>
      </c>
      <c r="D12" s="17">
        <v>0.44500000000000001</v>
      </c>
      <c r="E12" s="15">
        <v>1450</v>
      </c>
      <c r="F12" s="15">
        <f>D12*E12</f>
        <v>645.25</v>
      </c>
    </row>
    <row r="13" spans="1:7" ht="16.05" customHeight="1" x14ac:dyDescent="0.3">
      <c r="A13" s="16" t="s">
        <v>254</v>
      </c>
      <c r="B13" s="18" t="s">
        <v>253</v>
      </c>
      <c r="C13" s="16" t="s">
        <v>52</v>
      </c>
      <c r="D13" s="17">
        <v>0.44500000000000001</v>
      </c>
      <c r="E13" s="15">
        <v>0</v>
      </c>
      <c r="F13" s="15">
        <f>D13*E13</f>
        <v>0</v>
      </c>
    </row>
    <row r="14" spans="1:7" ht="16.05" customHeight="1" x14ac:dyDescent="0.3">
      <c r="A14" s="16" t="s">
        <v>252</v>
      </c>
      <c r="B14" s="18" t="s">
        <v>266</v>
      </c>
      <c r="C14" s="16" t="s">
        <v>131</v>
      </c>
      <c r="D14" s="17">
        <v>0.32</v>
      </c>
      <c r="E14" s="15">
        <v>5156</v>
      </c>
      <c r="F14" s="15">
        <f>D14*E14</f>
        <v>1649.92</v>
      </c>
    </row>
    <row r="15" spans="1:7" ht="16.05" customHeight="1" x14ac:dyDescent="0.3">
      <c r="A15" s="16" t="s">
        <v>250</v>
      </c>
      <c r="B15" s="18" t="s">
        <v>249</v>
      </c>
      <c r="C15" s="16" t="s">
        <v>131</v>
      </c>
      <c r="D15" s="17">
        <v>0.32</v>
      </c>
      <c r="E15" s="15">
        <v>0</v>
      </c>
      <c r="F15" s="15">
        <f>D15*E15</f>
        <v>0</v>
      </c>
    </row>
    <row r="16" spans="1:7" ht="16.05" customHeight="1" x14ac:dyDescent="0.3">
      <c r="A16" s="19" t="s">
        <v>3</v>
      </c>
      <c r="B16" s="20" t="s">
        <v>75</v>
      </c>
      <c r="C16" s="19" t="s">
        <v>3</v>
      </c>
      <c r="D16" s="19" t="s">
        <v>3</v>
      </c>
      <c r="E16" s="19" t="s">
        <v>3</v>
      </c>
      <c r="F16" s="19" t="s">
        <v>3</v>
      </c>
    </row>
    <row r="17" spans="1:6" ht="16.05" customHeight="1" x14ac:dyDescent="0.3">
      <c r="A17" s="16" t="s">
        <v>85</v>
      </c>
      <c r="B17" s="18" t="s">
        <v>84</v>
      </c>
      <c r="C17" s="16" t="s">
        <v>68</v>
      </c>
      <c r="D17" s="17">
        <v>0.1</v>
      </c>
      <c r="E17" s="15">
        <v>857</v>
      </c>
      <c r="F17" s="15">
        <f>D17*E17</f>
        <v>85.7</v>
      </c>
    </row>
    <row r="18" spans="1:6" ht="16.05" customHeight="1" x14ac:dyDescent="0.3">
      <c r="A18" s="16" t="s">
        <v>74</v>
      </c>
      <c r="B18" s="18" t="s">
        <v>73</v>
      </c>
      <c r="C18" s="16" t="s">
        <v>68</v>
      </c>
      <c r="D18" s="17">
        <v>1.63</v>
      </c>
      <c r="E18" s="15">
        <v>736</v>
      </c>
      <c r="F18" s="15">
        <f>D18*E18</f>
        <v>1199.6799999999998</v>
      </c>
    </row>
    <row r="19" spans="1:6" ht="16.05" customHeight="1" x14ac:dyDescent="0.3">
      <c r="A19" s="16" t="s">
        <v>70</v>
      </c>
      <c r="B19" s="18" t="s">
        <v>69</v>
      </c>
      <c r="C19" s="16" t="s">
        <v>68</v>
      </c>
      <c r="D19" s="17">
        <v>0.7</v>
      </c>
      <c r="E19" s="15">
        <v>816</v>
      </c>
      <c r="F19" s="15">
        <f>D19*E19</f>
        <v>571.19999999999993</v>
      </c>
    </row>
    <row r="20" spans="1:6" ht="16.05" customHeight="1" x14ac:dyDescent="0.3">
      <c r="A20" s="16" t="s">
        <v>248</v>
      </c>
      <c r="B20" s="18" t="s">
        <v>247</v>
      </c>
      <c r="C20" s="16" t="s">
        <v>68</v>
      </c>
      <c r="D20" s="17">
        <v>7.0000000000000007E-2</v>
      </c>
      <c r="E20" s="15">
        <v>900</v>
      </c>
      <c r="F20" s="15">
        <f>D20*E20</f>
        <v>63.000000000000007</v>
      </c>
    </row>
    <row r="21" spans="1:6" ht="16.05" customHeight="1" x14ac:dyDescent="0.3">
      <c r="A21" s="16" t="s">
        <v>246</v>
      </c>
      <c r="B21" s="18" t="s">
        <v>245</v>
      </c>
      <c r="C21" s="16" t="s">
        <v>68</v>
      </c>
      <c r="D21" s="17">
        <v>7.0000000000000007E-2</v>
      </c>
      <c r="E21" s="15">
        <v>400</v>
      </c>
      <c r="F21" s="15">
        <f>D21*E21</f>
        <v>28.000000000000004</v>
      </c>
    </row>
    <row r="22" spans="1:6" ht="16.05" customHeight="1" x14ac:dyDescent="0.3">
      <c r="A22" s="16" t="s">
        <v>67</v>
      </c>
      <c r="B22" s="18" t="s">
        <v>79</v>
      </c>
      <c r="C22" s="16" t="s">
        <v>65</v>
      </c>
      <c r="D22" s="17">
        <v>14.3</v>
      </c>
      <c r="E22" s="15">
        <v>2.27</v>
      </c>
      <c r="F22" s="15">
        <f>D22*E22</f>
        <v>32.460999999999999</v>
      </c>
    </row>
    <row r="23" spans="1:6" x14ac:dyDescent="0.3">
      <c r="A23" s="12" t="s">
        <v>3</v>
      </c>
      <c r="B23" s="12" t="s">
        <v>48</v>
      </c>
      <c r="C23" s="12" t="s">
        <v>3</v>
      </c>
      <c r="D23" s="12" t="s">
        <v>3</v>
      </c>
      <c r="E23" s="12" t="s">
        <v>3</v>
      </c>
      <c r="F23" s="14">
        <f>(F9+F10+F11+F12+F13+F14+F15+F17+F18+F19+F20+F21+F22+0)</f>
        <v>5537.9609999999993</v>
      </c>
    </row>
    <row r="24" spans="1:6" x14ac:dyDescent="0.3">
      <c r="A24" s="16" t="s">
        <v>3</v>
      </c>
      <c r="B24" s="16" t="s">
        <v>51</v>
      </c>
      <c r="C24" s="16" t="s">
        <v>3</v>
      </c>
      <c r="D24" s="16" t="s">
        <v>3</v>
      </c>
      <c r="E24" s="16" t="s">
        <v>3</v>
      </c>
      <c r="F24" s="15">
        <f>(F9+F10+F11+F12+F13+F14+F15+F17+F18+F19+F20+F21+F22)*0.01</f>
        <v>55.379609999999992</v>
      </c>
    </row>
    <row r="25" spans="1:6" x14ac:dyDescent="0.3">
      <c r="A25" s="12" t="s">
        <v>3</v>
      </c>
      <c r="B25" s="12" t="s">
        <v>48</v>
      </c>
      <c r="C25" s="12" t="s">
        <v>3</v>
      </c>
      <c r="D25" s="12" t="s">
        <v>3</v>
      </c>
      <c r="E25" s="12" t="s">
        <v>3</v>
      </c>
      <c r="F25" s="14">
        <f>F23+F24</f>
        <v>5593.3406099999993</v>
      </c>
    </row>
    <row r="26" spans="1:6" x14ac:dyDescent="0.3">
      <c r="A26" s="16" t="s">
        <v>3</v>
      </c>
      <c r="B26" s="16" t="s">
        <v>50</v>
      </c>
      <c r="C26" s="16" t="s">
        <v>3</v>
      </c>
      <c r="D26" s="16" t="s">
        <v>3</v>
      </c>
      <c r="E26" s="16" t="s">
        <v>3</v>
      </c>
      <c r="F26" s="15">
        <f>(F9+F10+F11+F12+F13+F14+F15+F17+F18+F19+F20+F21+F22+F24)*0.2127</f>
        <v>1189.7035477469999</v>
      </c>
    </row>
    <row r="27" spans="1:6" x14ac:dyDescent="0.3">
      <c r="A27" s="12" t="s">
        <v>3</v>
      </c>
      <c r="B27" s="12" t="s">
        <v>48</v>
      </c>
      <c r="C27" s="12" t="s">
        <v>3</v>
      </c>
      <c r="D27" s="12" t="s">
        <v>3</v>
      </c>
      <c r="E27" s="12" t="s">
        <v>3</v>
      </c>
      <c r="F27" s="14">
        <f>F25+F26</f>
        <v>6783.0441577469992</v>
      </c>
    </row>
    <row r="28" spans="1:6" x14ac:dyDescent="0.3">
      <c r="A28" s="16" t="s">
        <v>3</v>
      </c>
      <c r="B28" s="16" t="s">
        <v>49</v>
      </c>
      <c r="C28" s="16" t="s">
        <v>3</v>
      </c>
      <c r="D28" s="16" t="s">
        <v>3</v>
      </c>
      <c r="E28" s="16" t="s">
        <v>3</v>
      </c>
      <c r="F28" s="15">
        <f>(F9+F10+F11+F12+F13+F14+F15+F17+F18+F19+F20+F21+F22+F24+F26)*0.15</f>
        <v>1017.4566236620499</v>
      </c>
    </row>
    <row r="29" spans="1:6" x14ac:dyDescent="0.3">
      <c r="A29" s="12" t="s">
        <v>3</v>
      </c>
      <c r="B29" s="12" t="s">
        <v>48</v>
      </c>
      <c r="C29" s="12" t="s">
        <v>3</v>
      </c>
      <c r="D29" s="12" t="s">
        <v>3</v>
      </c>
      <c r="E29" s="12" t="s">
        <v>3</v>
      </c>
      <c r="F29" s="14">
        <f>F27+F28</f>
        <v>7800.5007814090495</v>
      </c>
    </row>
    <row r="30" spans="1:6" x14ac:dyDescent="0.3">
      <c r="A30" s="16" t="s">
        <v>3</v>
      </c>
      <c r="B30" s="16" t="s">
        <v>47</v>
      </c>
      <c r="C30" s="16" t="s">
        <v>3</v>
      </c>
      <c r="D30" s="16" t="s">
        <v>3</v>
      </c>
      <c r="E30" s="16" t="s">
        <v>3</v>
      </c>
      <c r="F30" s="15">
        <f>(F9+F10+F11+F12+F13+F14+F15+F17+F18+F19+F20+F21+F22+F24+F26+F28)*0.01</f>
        <v>78.00500781409049</v>
      </c>
    </row>
    <row r="31" spans="1:6" x14ac:dyDescent="0.3">
      <c r="A31" s="12" t="s">
        <v>3</v>
      </c>
      <c r="B31" s="12" t="s">
        <v>46</v>
      </c>
      <c r="C31" s="12" t="s">
        <v>3</v>
      </c>
      <c r="D31" s="12" t="s">
        <v>3</v>
      </c>
      <c r="E31" s="12" t="s">
        <v>3</v>
      </c>
      <c r="F31" s="14">
        <f>F29+F30</f>
        <v>7878.5057892231398</v>
      </c>
    </row>
    <row r="32" spans="1:6" ht="15.6" x14ac:dyDescent="0.3">
      <c r="A32" s="12" t="s">
        <v>3</v>
      </c>
      <c r="B32" s="12" t="s">
        <v>45</v>
      </c>
      <c r="C32" s="12" t="s">
        <v>3</v>
      </c>
      <c r="D32" s="12" t="s">
        <v>3</v>
      </c>
      <c r="E32" s="12" t="s">
        <v>3</v>
      </c>
      <c r="F32" s="13">
        <f>F31/1</f>
        <v>7878.5057892231398</v>
      </c>
    </row>
    <row r="33" spans="1:6" ht="15.6" x14ac:dyDescent="0.3">
      <c r="A33" s="12" t="s">
        <v>3</v>
      </c>
      <c r="B33" s="12" t="s">
        <v>3</v>
      </c>
      <c r="C33" s="12" t="s">
        <v>3</v>
      </c>
      <c r="D33" s="12" t="s">
        <v>3</v>
      </c>
      <c r="E33" s="11" t="s">
        <v>44</v>
      </c>
      <c r="F33" s="10">
        <f>MROUND(F32, 0.05)</f>
        <v>7878.5</v>
      </c>
    </row>
    <row r="36" spans="1:6" x14ac:dyDescent="0.3">
      <c r="A36" s="12" t="s">
        <v>62</v>
      </c>
      <c r="B36" s="12" t="s">
        <v>16</v>
      </c>
    </row>
    <row r="37" spans="1:6" ht="48" customHeight="1" x14ac:dyDescent="0.3">
      <c r="A37" s="12" t="s">
        <v>61</v>
      </c>
      <c r="B37" s="22" t="s">
        <v>273</v>
      </c>
      <c r="C37" s="22"/>
      <c r="D37" s="22"/>
      <c r="E37" s="22"/>
      <c r="F37" s="22"/>
    </row>
    <row r="38" spans="1:6" x14ac:dyDescent="0.3">
      <c r="A38" s="12" t="s">
        <v>60</v>
      </c>
      <c r="B38" s="12" t="s">
        <v>59</v>
      </c>
    </row>
    <row r="39" spans="1:6" x14ac:dyDescent="0.3">
      <c r="A39" s="21" t="s">
        <v>7</v>
      </c>
      <c r="B39" s="21" t="s">
        <v>56</v>
      </c>
      <c r="C39" s="21" t="s">
        <v>9</v>
      </c>
      <c r="D39" s="21" t="s">
        <v>10</v>
      </c>
      <c r="E39" s="21" t="s">
        <v>58</v>
      </c>
      <c r="F39" s="21" t="s">
        <v>57</v>
      </c>
    </row>
    <row r="40" spans="1:6" ht="16.05" customHeight="1" x14ac:dyDescent="0.3">
      <c r="A40" s="19" t="s">
        <v>3</v>
      </c>
      <c r="B40" s="20" t="s">
        <v>56</v>
      </c>
      <c r="C40" s="19" t="s">
        <v>3</v>
      </c>
      <c r="D40" s="19" t="s">
        <v>3</v>
      </c>
      <c r="E40" s="19" t="s">
        <v>3</v>
      </c>
      <c r="F40" s="19" t="s">
        <v>3</v>
      </c>
    </row>
    <row r="41" spans="1:6" ht="16.05" customHeight="1" x14ac:dyDescent="0.3">
      <c r="A41" s="19" t="s">
        <v>3</v>
      </c>
      <c r="B41" s="20" t="s">
        <v>272</v>
      </c>
      <c r="C41" s="19" t="s">
        <v>3</v>
      </c>
      <c r="D41" s="19" t="s">
        <v>3</v>
      </c>
      <c r="E41" s="19" t="s">
        <v>3</v>
      </c>
      <c r="F41" s="19" t="s">
        <v>3</v>
      </c>
    </row>
    <row r="42" spans="1:6" ht="16.05" customHeight="1" x14ac:dyDescent="0.3">
      <c r="A42" s="19" t="s">
        <v>3</v>
      </c>
      <c r="B42" s="20" t="s">
        <v>89</v>
      </c>
      <c r="C42" s="19" t="s">
        <v>3</v>
      </c>
      <c r="D42" s="19" t="s">
        <v>3</v>
      </c>
      <c r="E42" s="19" t="s">
        <v>3</v>
      </c>
      <c r="F42" s="19" t="s">
        <v>3</v>
      </c>
    </row>
    <row r="43" spans="1:6" ht="16.05" customHeight="1" x14ac:dyDescent="0.3">
      <c r="A43" s="16" t="s">
        <v>271</v>
      </c>
      <c r="B43" s="18" t="s">
        <v>270</v>
      </c>
      <c r="C43" s="16" t="s">
        <v>52</v>
      </c>
      <c r="D43" s="17">
        <v>0.65</v>
      </c>
      <c r="E43" s="15">
        <v>1400</v>
      </c>
      <c r="F43" s="15">
        <f>D43*E43</f>
        <v>910</v>
      </c>
    </row>
    <row r="44" spans="1:6" ht="16.05" customHeight="1" x14ac:dyDescent="0.3">
      <c r="A44" s="19" t="s">
        <v>3</v>
      </c>
      <c r="B44" s="20" t="s">
        <v>269</v>
      </c>
      <c r="C44" s="19" t="s">
        <v>3</v>
      </c>
      <c r="D44" s="19" t="s">
        <v>3</v>
      </c>
      <c r="E44" s="19" t="s">
        <v>3</v>
      </c>
      <c r="F44" s="19" t="s">
        <v>3</v>
      </c>
    </row>
    <row r="45" spans="1:6" ht="16.05" customHeight="1" x14ac:dyDescent="0.3">
      <c r="A45" s="16" t="s">
        <v>262</v>
      </c>
      <c r="B45" s="18" t="s">
        <v>261</v>
      </c>
      <c r="C45" s="16" t="s">
        <v>52</v>
      </c>
      <c r="D45" s="17">
        <v>0.24</v>
      </c>
      <c r="E45" s="15">
        <v>1425</v>
      </c>
      <c r="F45" s="15">
        <f>D45*E45</f>
        <v>342</v>
      </c>
    </row>
    <row r="46" spans="1:6" ht="16.05" customHeight="1" x14ac:dyDescent="0.3">
      <c r="A46" s="16" t="s">
        <v>268</v>
      </c>
      <c r="B46" s="18" t="s">
        <v>267</v>
      </c>
      <c r="C46" s="16" t="s">
        <v>52</v>
      </c>
      <c r="D46" s="17">
        <v>0.65</v>
      </c>
      <c r="E46" s="15">
        <v>0</v>
      </c>
      <c r="F46" s="15">
        <f>D46*E46</f>
        <v>0</v>
      </c>
    </row>
    <row r="47" spans="1:6" ht="16.05" customHeight="1" x14ac:dyDescent="0.3">
      <c r="A47" s="16" t="s">
        <v>258</v>
      </c>
      <c r="B47" s="18" t="s">
        <v>257</v>
      </c>
      <c r="C47" s="16" t="s">
        <v>52</v>
      </c>
      <c r="D47" s="17">
        <v>0.24</v>
      </c>
      <c r="E47" s="15">
        <v>0</v>
      </c>
      <c r="F47" s="15">
        <f>D47*E47</f>
        <v>0</v>
      </c>
    </row>
    <row r="48" spans="1:6" ht="16.05" customHeight="1" x14ac:dyDescent="0.3">
      <c r="A48" s="16" t="s">
        <v>256</v>
      </c>
      <c r="B48" s="18" t="s">
        <v>255</v>
      </c>
      <c r="C48" s="16" t="s">
        <v>52</v>
      </c>
      <c r="D48" s="17">
        <v>0.47</v>
      </c>
      <c r="E48" s="15">
        <v>1450</v>
      </c>
      <c r="F48" s="15">
        <f>D48*E48</f>
        <v>681.5</v>
      </c>
    </row>
    <row r="49" spans="1:6" ht="16.05" customHeight="1" x14ac:dyDescent="0.3">
      <c r="A49" s="16" t="s">
        <v>254</v>
      </c>
      <c r="B49" s="18" t="s">
        <v>253</v>
      </c>
      <c r="C49" s="16" t="s">
        <v>52</v>
      </c>
      <c r="D49" s="17">
        <v>0.47</v>
      </c>
      <c r="E49" s="15">
        <v>0</v>
      </c>
      <c r="F49" s="15">
        <f>D49*E49</f>
        <v>0</v>
      </c>
    </row>
    <row r="50" spans="1:6" ht="16.05" customHeight="1" x14ac:dyDescent="0.3">
      <c r="A50" s="16" t="s">
        <v>252</v>
      </c>
      <c r="B50" s="18" t="s">
        <v>266</v>
      </c>
      <c r="C50" s="16" t="s">
        <v>131</v>
      </c>
      <c r="D50" s="17">
        <v>0.13</v>
      </c>
      <c r="E50" s="15">
        <v>5156</v>
      </c>
      <c r="F50" s="15">
        <f>D50*E50</f>
        <v>670.28</v>
      </c>
    </row>
    <row r="51" spans="1:6" ht="16.05" customHeight="1" x14ac:dyDescent="0.3">
      <c r="A51" s="16" t="s">
        <v>250</v>
      </c>
      <c r="B51" s="18" t="s">
        <v>249</v>
      </c>
      <c r="C51" s="16" t="s">
        <v>131</v>
      </c>
      <c r="D51" s="17">
        <v>0.13</v>
      </c>
      <c r="E51" s="15">
        <v>0</v>
      </c>
      <c r="F51" s="15">
        <f>D51*E51</f>
        <v>0</v>
      </c>
    </row>
    <row r="52" spans="1:6" ht="16.05" customHeight="1" x14ac:dyDescent="0.3">
      <c r="A52" s="19" t="s">
        <v>3</v>
      </c>
      <c r="B52" s="20" t="s">
        <v>75</v>
      </c>
      <c r="C52" s="19" t="s">
        <v>3</v>
      </c>
      <c r="D52" s="19" t="s">
        <v>3</v>
      </c>
      <c r="E52" s="19" t="s">
        <v>3</v>
      </c>
      <c r="F52" s="19" t="s">
        <v>3</v>
      </c>
    </row>
    <row r="53" spans="1:6" ht="16.05" customHeight="1" x14ac:dyDescent="0.3">
      <c r="A53" s="16" t="s">
        <v>85</v>
      </c>
      <c r="B53" s="18" t="s">
        <v>84</v>
      </c>
      <c r="C53" s="16" t="s">
        <v>68</v>
      </c>
      <c r="D53" s="17">
        <v>0.1</v>
      </c>
      <c r="E53" s="15">
        <v>857</v>
      </c>
      <c r="F53" s="15">
        <f>D53*E53</f>
        <v>85.7</v>
      </c>
    </row>
    <row r="54" spans="1:6" ht="16.05" customHeight="1" x14ac:dyDescent="0.3">
      <c r="A54" s="16" t="s">
        <v>74</v>
      </c>
      <c r="B54" s="18" t="s">
        <v>73</v>
      </c>
      <c r="C54" s="16" t="s">
        <v>68</v>
      </c>
      <c r="D54" s="17">
        <v>1.63</v>
      </c>
      <c r="E54" s="15">
        <v>736</v>
      </c>
      <c r="F54" s="15">
        <f>D54*E54</f>
        <v>1199.6799999999998</v>
      </c>
    </row>
    <row r="55" spans="1:6" ht="16.05" customHeight="1" x14ac:dyDescent="0.3">
      <c r="A55" s="16" t="s">
        <v>70</v>
      </c>
      <c r="B55" s="18" t="s">
        <v>69</v>
      </c>
      <c r="C55" s="16" t="s">
        <v>68</v>
      </c>
      <c r="D55" s="17">
        <v>0.7</v>
      </c>
      <c r="E55" s="15">
        <v>816</v>
      </c>
      <c r="F55" s="15">
        <f>D55*E55</f>
        <v>571.19999999999993</v>
      </c>
    </row>
    <row r="56" spans="1:6" ht="16.05" customHeight="1" x14ac:dyDescent="0.3">
      <c r="A56" s="16" t="s">
        <v>248</v>
      </c>
      <c r="B56" s="18" t="s">
        <v>247</v>
      </c>
      <c r="C56" s="16" t="s">
        <v>68</v>
      </c>
      <c r="D56" s="17">
        <v>7.0000000000000007E-2</v>
      </c>
      <c r="E56" s="15">
        <v>900</v>
      </c>
      <c r="F56" s="15">
        <f>D56*E56</f>
        <v>63.000000000000007</v>
      </c>
    </row>
    <row r="57" spans="1:6" ht="16.05" customHeight="1" x14ac:dyDescent="0.3">
      <c r="A57" s="16" t="s">
        <v>246</v>
      </c>
      <c r="B57" s="18" t="s">
        <v>245</v>
      </c>
      <c r="C57" s="16" t="s">
        <v>68</v>
      </c>
      <c r="D57" s="17">
        <v>7.0000000000000007E-2</v>
      </c>
      <c r="E57" s="15">
        <v>400</v>
      </c>
      <c r="F57" s="15">
        <f>D57*E57</f>
        <v>28.000000000000004</v>
      </c>
    </row>
    <row r="58" spans="1:6" ht="16.05" customHeight="1" x14ac:dyDescent="0.3">
      <c r="A58" s="16" t="s">
        <v>67</v>
      </c>
      <c r="B58" s="18" t="s">
        <v>79</v>
      </c>
      <c r="C58" s="16" t="s">
        <v>65</v>
      </c>
      <c r="D58" s="17">
        <v>13.52</v>
      </c>
      <c r="E58" s="15">
        <v>2.27</v>
      </c>
      <c r="F58" s="15">
        <f>D58*E58</f>
        <v>30.6904</v>
      </c>
    </row>
    <row r="59" spans="1:6" x14ac:dyDescent="0.3">
      <c r="A59" s="12" t="s">
        <v>3</v>
      </c>
      <c r="B59" s="12" t="s">
        <v>48</v>
      </c>
      <c r="C59" s="12" t="s">
        <v>3</v>
      </c>
      <c r="D59" s="12" t="s">
        <v>3</v>
      </c>
      <c r="E59" s="12" t="s">
        <v>3</v>
      </c>
      <c r="F59" s="14">
        <f>(F43+F45+F46+F47+F48+F49+F50+F51+F53+F54+F55+F56+F57+F58+0)</f>
        <v>4582.0504000000001</v>
      </c>
    </row>
    <row r="60" spans="1:6" x14ac:dyDescent="0.3">
      <c r="A60" s="16" t="s">
        <v>3</v>
      </c>
      <c r="B60" s="16" t="s">
        <v>51</v>
      </c>
      <c r="C60" s="16" t="s">
        <v>3</v>
      </c>
      <c r="D60" s="16" t="s">
        <v>3</v>
      </c>
      <c r="E60" s="16" t="s">
        <v>3</v>
      </c>
      <c r="F60" s="15">
        <f>(F43+F45+F46+F47+F48+F49+F50+F51+F53+F54+F55+F56+F57+F58)*0.01</f>
        <v>45.820504</v>
      </c>
    </row>
    <row r="61" spans="1:6" x14ac:dyDescent="0.3">
      <c r="A61" s="12" t="s">
        <v>3</v>
      </c>
      <c r="B61" s="12" t="s">
        <v>48</v>
      </c>
      <c r="C61" s="12" t="s">
        <v>3</v>
      </c>
      <c r="D61" s="12" t="s">
        <v>3</v>
      </c>
      <c r="E61" s="12" t="s">
        <v>3</v>
      </c>
      <c r="F61" s="14">
        <f>F59+F60</f>
        <v>4627.8709040000003</v>
      </c>
    </row>
    <row r="62" spans="1:6" x14ac:dyDescent="0.3">
      <c r="A62" s="16" t="s">
        <v>3</v>
      </c>
      <c r="B62" s="16" t="s">
        <v>50</v>
      </c>
      <c r="C62" s="16" t="s">
        <v>3</v>
      </c>
      <c r="D62" s="16" t="s">
        <v>3</v>
      </c>
      <c r="E62" s="16" t="s">
        <v>3</v>
      </c>
      <c r="F62" s="15">
        <f>(F43+F45+F46+F47+F48+F49+F50+F51+F53+F54+F55+F56+F57+F58+F60)*0.2127</f>
        <v>984.34814128080006</v>
      </c>
    </row>
    <row r="63" spans="1:6" x14ac:dyDescent="0.3">
      <c r="A63" s="12" t="s">
        <v>3</v>
      </c>
      <c r="B63" s="12" t="s">
        <v>48</v>
      </c>
      <c r="C63" s="12" t="s">
        <v>3</v>
      </c>
      <c r="D63" s="12" t="s">
        <v>3</v>
      </c>
      <c r="E63" s="12" t="s">
        <v>3</v>
      </c>
      <c r="F63" s="14">
        <f>F61+F62</f>
        <v>5612.2190452808009</v>
      </c>
    </row>
    <row r="64" spans="1:6" x14ac:dyDescent="0.3">
      <c r="A64" s="16" t="s">
        <v>3</v>
      </c>
      <c r="B64" s="16" t="s">
        <v>49</v>
      </c>
      <c r="C64" s="16" t="s">
        <v>3</v>
      </c>
      <c r="D64" s="16" t="s">
        <v>3</v>
      </c>
      <c r="E64" s="16" t="s">
        <v>3</v>
      </c>
      <c r="F64" s="15">
        <f>(F43+F45+F46+F47+F48+F49+F50+F51+F53+F54+F55+F56+F57+F58+F60+F62)*0.15</f>
        <v>841.83285679212008</v>
      </c>
    </row>
    <row r="65" spans="1:6" x14ac:dyDescent="0.3">
      <c r="A65" s="12" t="s">
        <v>3</v>
      </c>
      <c r="B65" s="12" t="s">
        <v>48</v>
      </c>
      <c r="C65" s="12" t="s">
        <v>3</v>
      </c>
      <c r="D65" s="12" t="s">
        <v>3</v>
      </c>
      <c r="E65" s="12" t="s">
        <v>3</v>
      </c>
      <c r="F65" s="14">
        <f>F63+F64</f>
        <v>6454.0519020729207</v>
      </c>
    </row>
    <row r="66" spans="1:6" x14ac:dyDescent="0.3">
      <c r="A66" s="16" t="s">
        <v>3</v>
      </c>
      <c r="B66" s="16" t="s">
        <v>47</v>
      </c>
      <c r="C66" s="16" t="s">
        <v>3</v>
      </c>
      <c r="D66" s="16" t="s">
        <v>3</v>
      </c>
      <c r="E66" s="16" t="s">
        <v>3</v>
      </c>
      <c r="F66" s="15">
        <f>(F43+F45+F46+F47+F48+F49+F50+F51+F53+F54+F55+F56+F57+F58+F60+F62+F64)*0.01</f>
        <v>64.540519020729207</v>
      </c>
    </row>
    <row r="67" spans="1:6" x14ac:dyDescent="0.3">
      <c r="A67" s="12" t="s">
        <v>3</v>
      </c>
      <c r="B67" s="12" t="s">
        <v>46</v>
      </c>
      <c r="C67" s="12" t="s">
        <v>3</v>
      </c>
      <c r="D67" s="12" t="s">
        <v>3</v>
      </c>
      <c r="E67" s="12" t="s">
        <v>3</v>
      </c>
      <c r="F67" s="14">
        <f>F65+F66</f>
        <v>6518.59242109365</v>
      </c>
    </row>
    <row r="68" spans="1:6" ht="15.6" x14ac:dyDescent="0.3">
      <c r="A68" s="12" t="s">
        <v>3</v>
      </c>
      <c r="B68" s="12" t="s">
        <v>45</v>
      </c>
      <c r="C68" s="12" t="s">
        <v>3</v>
      </c>
      <c r="D68" s="12" t="s">
        <v>3</v>
      </c>
      <c r="E68" s="12" t="s">
        <v>3</v>
      </c>
      <c r="F68" s="13">
        <f>F67/1</f>
        <v>6518.59242109365</v>
      </c>
    </row>
    <row r="69" spans="1:6" ht="15.6" x14ac:dyDescent="0.3">
      <c r="A69" s="12" t="s">
        <v>3</v>
      </c>
      <c r="B69" s="12" t="s">
        <v>3</v>
      </c>
      <c r="C69" s="12" t="s">
        <v>3</v>
      </c>
      <c r="D69" s="12" t="s">
        <v>3</v>
      </c>
      <c r="E69" s="11" t="s">
        <v>44</v>
      </c>
      <c r="F69" s="10">
        <f>MROUND(F68, 0.05)</f>
        <v>6518.6</v>
      </c>
    </row>
    <row r="72" spans="1:6" x14ac:dyDescent="0.3">
      <c r="A72" s="12" t="s">
        <v>62</v>
      </c>
      <c r="B72" s="12" t="s">
        <v>18</v>
      </c>
    </row>
    <row r="73" spans="1:6" ht="48" customHeight="1" x14ac:dyDescent="0.3">
      <c r="A73" s="12" t="s">
        <v>61</v>
      </c>
      <c r="B73" s="22" t="s">
        <v>265</v>
      </c>
      <c r="C73" s="22"/>
      <c r="D73" s="22"/>
      <c r="E73" s="22"/>
      <c r="F73" s="22"/>
    </row>
    <row r="74" spans="1:6" x14ac:dyDescent="0.3">
      <c r="A74" s="12" t="s">
        <v>60</v>
      </c>
      <c r="B74" s="12" t="s">
        <v>264</v>
      </c>
    </row>
    <row r="75" spans="1:6" x14ac:dyDescent="0.3">
      <c r="A75" s="21" t="s">
        <v>7</v>
      </c>
      <c r="B75" s="21" t="s">
        <v>56</v>
      </c>
      <c r="C75" s="21" t="s">
        <v>9</v>
      </c>
      <c r="D75" s="21" t="s">
        <v>10</v>
      </c>
      <c r="E75" s="21" t="s">
        <v>58</v>
      </c>
      <c r="F75" s="21" t="s">
        <v>57</v>
      </c>
    </row>
    <row r="76" spans="1:6" ht="16.05" customHeight="1" x14ac:dyDescent="0.3">
      <c r="A76" s="19" t="s">
        <v>3</v>
      </c>
      <c r="B76" s="20" t="s">
        <v>56</v>
      </c>
      <c r="C76" s="19" t="s">
        <v>3</v>
      </c>
      <c r="D76" s="19" t="s">
        <v>3</v>
      </c>
      <c r="E76" s="19" t="s">
        <v>3</v>
      </c>
      <c r="F76" s="19" t="s">
        <v>3</v>
      </c>
    </row>
    <row r="77" spans="1:6" ht="16.05" customHeight="1" x14ac:dyDescent="0.3">
      <c r="A77" s="19" t="s">
        <v>3</v>
      </c>
      <c r="B77" s="20" t="s">
        <v>263</v>
      </c>
      <c r="C77" s="19" t="s">
        <v>3</v>
      </c>
      <c r="D77" s="19" t="s">
        <v>3</v>
      </c>
      <c r="E77" s="19" t="s">
        <v>3</v>
      </c>
      <c r="F77" s="19" t="s">
        <v>3</v>
      </c>
    </row>
    <row r="78" spans="1:6" ht="16.05" customHeight="1" x14ac:dyDescent="0.3">
      <c r="A78" s="19" t="s">
        <v>3</v>
      </c>
      <c r="B78" s="20" t="s">
        <v>89</v>
      </c>
      <c r="C78" s="19" t="s">
        <v>3</v>
      </c>
      <c r="D78" s="19" t="s">
        <v>3</v>
      </c>
      <c r="E78" s="19" t="s">
        <v>3</v>
      </c>
      <c r="F78" s="19" t="s">
        <v>3</v>
      </c>
    </row>
    <row r="79" spans="1:6" ht="16.05" customHeight="1" x14ac:dyDescent="0.3">
      <c r="A79" s="16" t="s">
        <v>262</v>
      </c>
      <c r="B79" s="18" t="s">
        <v>261</v>
      </c>
      <c r="C79" s="16" t="s">
        <v>52</v>
      </c>
      <c r="D79" s="17">
        <v>52.326000000000001</v>
      </c>
      <c r="E79" s="15">
        <v>1425</v>
      </c>
      <c r="F79" s="15">
        <f>D79*E79</f>
        <v>74564.55</v>
      </c>
    </row>
    <row r="80" spans="1:6" ht="16.05" customHeight="1" x14ac:dyDescent="0.3">
      <c r="A80" s="16" t="s">
        <v>260</v>
      </c>
      <c r="B80" s="18" t="s">
        <v>259</v>
      </c>
      <c r="C80" s="16" t="s">
        <v>52</v>
      </c>
      <c r="D80" s="17">
        <v>25.704000000000001</v>
      </c>
      <c r="E80" s="15">
        <v>1400</v>
      </c>
      <c r="F80" s="15">
        <f>D80*E80</f>
        <v>35985.599999999999</v>
      </c>
    </row>
    <row r="81" spans="1:6" ht="16.05" customHeight="1" x14ac:dyDescent="0.3">
      <c r="A81" s="16" t="s">
        <v>258</v>
      </c>
      <c r="B81" s="18" t="s">
        <v>257</v>
      </c>
      <c r="C81" s="16" t="s">
        <v>52</v>
      </c>
      <c r="D81" s="17">
        <v>78.03</v>
      </c>
      <c r="E81" s="15">
        <v>0</v>
      </c>
      <c r="F81" s="15">
        <f>D81*E81</f>
        <v>0</v>
      </c>
    </row>
    <row r="82" spans="1:6" ht="16.05" customHeight="1" x14ac:dyDescent="0.3">
      <c r="A82" s="16" t="s">
        <v>256</v>
      </c>
      <c r="B82" s="18" t="s">
        <v>255</v>
      </c>
      <c r="C82" s="16" t="s">
        <v>52</v>
      </c>
      <c r="D82" s="17">
        <v>39.015000000000001</v>
      </c>
      <c r="E82" s="15">
        <v>1450</v>
      </c>
      <c r="F82" s="15">
        <f>D82*E82</f>
        <v>56571.75</v>
      </c>
    </row>
    <row r="83" spans="1:6" ht="16.05" customHeight="1" x14ac:dyDescent="0.3">
      <c r="A83" s="16" t="s">
        <v>254</v>
      </c>
      <c r="B83" s="18" t="s">
        <v>253</v>
      </c>
      <c r="C83" s="16" t="s">
        <v>52</v>
      </c>
      <c r="D83" s="17">
        <v>39.015000000000001</v>
      </c>
      <c r="E83" s="15">
        <v>0</v>
      </c>
      <c r="F83" s="15">
        <f>D83*E83</f>
        <v>0</v>
      </c>
    </row>
    <row r="84" spans="1:6" ht="16.05" customHeight="1" x14ac:dyDescent="0.3">
      <c r="A84" s="16" t="s">
        <v>252</v>
      </c>
      <c r="B84" s="18" t="s">
        <v>251</v>
      </c>
      <c r="C84" s="16" t="s">
        <v>131</v>
      </c>
      <c r="D84" s="17">
        <v>36.72</v>
      </c>
      <c r="E84" s="15">
        <v>5156</v>
      </c>
      <c r="F84" s="15">
        <f>D84*E84</f>
        <v>189328.32</v>
      </c>
    </row>
    <row r="85" spans="1:6" ht="16.05" customHeight="1" x14ac:dyDescent="0.3">
      <c r="A85" s="16" t="s">
        <v>250</v>
      </c>
      <c r="B85" s="18" t="s">
        <v>249</v>
      </c>
      <c r="C85" s="16" t="s">
        <v>131</v>
      </c>
      <c r="D85" s="17">
        <v>36.72</v>
      </c>
      <c r="E85" s="15">
        <v>0</v>
      </c>
      <c r="F85" s="15">
        <f>D85*E85</f>
        <v>0</v>
      </c>
    </row>
    <row r="86" spans="1:6" ht="16.05" customHeight="1" x14ac:dyDescent="0.3">
      <c r="A86" s="19" t="s">
        <v>3</v>
      </c>
      <c r="B86" s="20" t="s">
        <v>75</v>
      </c>
      <c r="C86" s="19" t="s">
        <v>3</v>
      </c>
      <c r="D86" s="19" t="s">
        <v>3</v>
      </c>
      <c r="E86" s="19" t="s">
        <v>3</v>
      </c>
      <c r="F86" s="19" t="s">
        <v>3</v>
      </c>
    </row>
    <row r="87" spans="1:6" ht="16.05" customHeight="1" x14ac:dyDescent="0.3">
      <c r="A87" s="16" t="s">
        <v>74</v>
      </c>
      <c r="B87" s="18" t="s">
        <v>73</v>
      </c>
      <c r="C87" s="16" t="s">
        <v>68</v>
      </c>
      <c r="D87" s="17">
        <v>112.9</v>
      </c>
      <c r="E87" s="15">
        <v>736</v>
      </c>
      <c r="F87" s="15">
        <f>D87*E87</f>
        <v>83094.400000000009</v>
      </c>
    </row>
    <row r="88" spans="1:6" ht="16.05" customHeight="1" x14ac:dyDescent="0.3">
      <c r="A88" s="16" t="s">
        <v>72</v>
      </c>
      <c r="B88" s="18" t="s">
        <v>71</v>
      </c>
      <c r="C88" s="16" t="s">
        <v>68</v>
      </c>
      <c r="D88" s="17">
        <v>75.3</v>
      </c>
      <c r="E88" s="15">
        <v>736</v>
      </c>
      <c r="F88" s="15">
        <f>D88*E88</f>
        <v>55420.799999999996</v>
      </c>
    </row>
    <row r="89" spans="1:6" ht="16.05" customHeight="1" x14ac:dyDescent="0.3">
      <c r="A89" s="16" t="s">
        <v>70</v>
      </c>
      <c r="B89" s="18" t="s">
        <v>69</v>
      </c>
      <c r="C89" s="16" t="s">
        <v>68</v>
      </c>
      <c r="D89" s="17">
        <v>82.6</v>
      </c>
      <c r="E89" s="15">
        <v>816</v>
      </c>
      <c r="F89" s="15">
        <f>D89*E89</f>
        <v>67401.599999999991</v>
      </c>
    </row>
    <row r="90" spans="1:6" ht="16.05" customHeight="1" x14ac:dyDescent="0.3">
      <c r="A90" s="16" t="s">
        <v>96</v>
      </c>
      <c r="B90" s="18" t="s">
        <v>95</v>
      </c>
      <c r="C90" s="16" t="s">
        <v>68</v>
      </c>
      <c r="D90" s="17">
        <v>9.1999999999999993</v>
      </c>
      <c r="E90" s="15">
        <v>897</v>
      </c>
      <c r="F90" s="15">
        <f>D90*E90</f>
        <v>8252.4</v>
      </c>
    </row>
    <row r="91" spans="1:6" ht="16.05" customHeight="1" x14ac:dyDescent="0.3">
      <c r="A91" s="16" t="s">
        <v>154</v>
      </c>
      <c r="B91" s="18" t="s">
        <v>153</v>
      </c>
      <c r="C91" s="16" t="s">
        <v>68</v>
      </c>
      <c r="D91" s="17">
        <v>9.1999999999999993</v>
      </c>
      <c r="E91" s="15">
        <v>816</v>
      </c>
      <c r="F91" s="15">
        <f>D91*E91</f>
        <v>7507.2</v>
      </c>
    </row>
    <row r="92" spans="1:6" ht="16.05" customHeight="1" x14ac:dyDescent="0.3">
      <c r="A92" s="16" t="s">
        <v>248</v>
      </c>
      <c r="B92" s="18" t="s">
        <v>247</v>
      </c>
      <c r="C92" s="16" t="s">
        <v>68</v>
      </c>
      <c r="D92" s="17">
        <v>6.4</v>
      </c>
      <c r="E92" s="15">
        <v>900</v>
      </c>
      <c r="F92" s="15">
        <f>D92*E92</f>
        <v>5760</v>
      </c>
    </row>
    <row r="93" spans="1:6" ht="16.05" customHeight="1" x14ac:dyDescent="0.3">
      <c r="A93" s="16" t="s">
        <v>246</v>
      </c>
      <c r="B93" s="18" t="s">
        <v>245</v>
      </c>
      <c r="C93" s="16" t="s">
        <v>68</v>
      </c>
      <c r="D93" s="17">
        <v>6.4</v>
      </c>
      <c r="E93" s="15">
        <v>400</v>
      </c>
      <c r="F93" s="15">
        <f>D93*E93</f>
        <v>2560</v>
      </c>
    </row>
    <row r="94" spans="1:6" ht="16.05" customHeight="1" x14ac:dyDescent="0.3">
      <c r="A94" s="16" t="s">
        <v>67</v>
      </c>
      <c r="B94" s="18" t="s">
        <v>79</v>
      </c>
      <c r="C94" s="16" t="s">
        <v>65</v>
      </c>
      <c r="D94" s="17">
        <v>1318.2</v>
      </c>
      <c r="E94" s="15">
        <v>2.27</v>
      </c>
      <c r="F94" s="15">
        <f>D94*E94</f>
        <v>2992.3140000000003</v>
      </c>
    </row>
    <row r="95" spans="1:6" ht="16.05" customHeight="1" x14ac:dyDescent="0.3">
      <c r="A95" s="16" t="s">
        <v>67</v>
      </c>
      <c r="B95" s="18" t="s">
        <v>244</v>
      </c>
      <c r="C95" s="16" t="s">
        <v>65</v>
      </c>
      <c r="D95" s="17">
        <v>4200.3</v>
      </c>
      <c r="E95" s="15">
        <v>2.27</v>
      </c>
      <c r="F95" s="15">
        <f>D95*E95</f>
        <v>9534.6810000000005</v>
      </c>
    </row>
    <row r="96" spans="1:6" ht="16.05" customHeight="1" x14ac:dyDescent="0.3">
      <c r="A96" s="19" t="s">
        <v>3</v>
      </c>
      <c r="B96" s="20" t="s">
        <v>243</v>
      </c>
      <c r="C96" s="19" t="s">
        <v>3</v>
      </c>
      <c r="D96" s="19" t="s">
        <v>3</v>
      </c>
      <c r="E96" s="19" t="s">
        <v>3</v>
      </c>
      <c r="F96" s="19" t="s">
        <v>3</v>
      </c>
    </row>
    <row r="97" spans="1:6" ht="16.05" customHeight="1" x14ac:dyDescent="0.3">
      <c r="A97" s="19" t="s">
        <v>3</v>
      </c>
      <c r="B97" s="20" t="s">
        <v>242</v>
      </c>
      <c r="C97" s="19" t="s">
        <v>3</v>
      </c>
      <c r="D97" s="19" t="s">
        <v>3</v>
      </c>
      <c r="E97" s="19" t="s">
        <v>3</v>
      </c>
      <c r="F97" s="19" t="s">
        <v>3</v>
      </c>
    </row>
    <row r="98" spans="1:6" ht="16.05" customHeight="1" x14ac:dyDescent="0.3">
      <c r="A98" s="16" t="s">
        <v>72</v>
      </c>
      <c r="B98" s="18" t="s">
        <v>71</v>
      </c>
      <c r="C98" s="16" t="s">
        <v>68</v>
      </c>
      <c r="D98" s="17">
        <v>137.69999999999999</v>
      </c>
      <c r="E98" s="15">
        <v>736</v>
      </c>
      <c r="F98" s="15">
        <f>D98*E98</f>
        <v>101347.2</v>
      </c>
    </row>
    <row r="99" spans="1:6" x14ac:dyDescent="0.3">
      <c r="A99" s="12" t="s">
        <v>3</v>
      </c>
      <c r="B99" s="12" t="s">
        <v>48</v>
      </c>
      <c r="C99" s="12" t="s">
        <v>3</v>
      </c>
      <c r="D99" s="12" t="s">
        <v>3</v>
      </c>
      <c r="E99" s="12" t="s">
        <v>3</v>
      </c>
      <c r="F99" s="14">
        <f>(F79+F80+F81+F82+F83+F84+F85+F87+F88+F89+F90+F91+F92+F93+F94+F95+F98+0)</f>
        <v>700320.81499999994</v>
      </c>
    </row>
    <row r="100" spans="1:6" x14ac:dyDescent="0.3">
      <c r="A100" s="16" t="s">
        <v>3</v>
      </c>
      <c r="B100" s="16" t="s">
        <v>51</v>
      </c>
      <c r="C100" s="16" t="s">
        <v>3</v>
      </c>
      <c r="D100" s="16" t="s">
        <v>3</v>
      </c>
      <c r="E100" s="16" t="s">
        <v>3</v>
      </c>
      <c r="F100" s="15">
        <f>(F79+F80+F81+F82+F83+F84+F85+F87+F88+F89+F90+F91+F92+F93+F94+F95+F98)*0.01</f>
        <v>7003.2081499999995</v>
      </c>
    </row>
    <row r="101" spans="1:6" x14ac:dyDescent="0.3">
      <c r="A101" s="12" t="s">
        <v>3</v>
      </c>
      <c r="B101" s="12" t="s">
        <v>48</v>
      </c>
      <c r="C101" s="12" t="s">
        <v>3</v>
      </c>
      <c r="D101" s="12" t="s">
        <v>3</v>
      </c>
      <c r="E101" s="12" t="s">
        <v>3</v>
      </c>
      <c r="F101" s="14">
        <f>F99+F100</f>
        <v>707324.02314999991</v>
      </c>
    </row>
    <row r="102" spans="1:6" x14ac:dyDescent="0.3">
      <c r="A102" s="16" t="s">
        <v>3</v>
      </c>
      <c r="B102" s="16" t="s">
        <v>50</v>
      </c>
      <c r="C102" s="16" t="s">
        <v>3</v>
      </c>
      <c r="D102" s="16" t="s">
        <v>3</v>
      </c>
      <c r="E102" s="16" t="s">
        <v>3</v>
      </c>
      <c r="F102" s="15">
        <f>(F79+F80+F81+F82+F83+F84+F85+F87+F88+F89+F90+F91+F92+F93+F94+F95+F98+F100)*0.2127</f>
        <v>150447.81972400498</v>
      </c>
    </row>
    <row r="103" spans="1:6" x14ac:dyDescent="0.3">
      <c r="A103" s="12" t="s">
        <v>3</v>
      </c>
      <c r="B103" s="12" t="s">
        <v>48</v>
      </c>
      <c r="C103" s="12" t="s">
        <v>3</v>
      </c>
      <c r="D103" s="12" t="s">
        <v>3</v>
      </c>
      <c r="E103" s="12" t="s">
        <v>3</v>
      </c>
      <c r="F103" s="14">
        <f>F101+F102</f>
        <v>857771.84287400485</v>
      </c>
    </row>
    <row r="104" spans="1:6" x14ac:dyDescent="0.3">
      <c r="A104" s="16" t="s">
        <v>3</v>
      </c>
      <c r="B104" s="16" t="s">
        <v>49</v>
      </c>
      <c r="C104" s="16" t="s">
        <v>3</v>
      </c>
      <c r="D104" s="16" t="s">
        <v>3</v>
      </c>
      <c r="E104" s="16" t="s">
        <v>3</v>
      </c>
      <c r="F104" s="15">
        <f>(F79+F80+F81+F82+F83+F84+F85+F87+F88+F89+F90+F91+F92+F93+F94+F95+F98+F100+F102)*0.15</f>
        <v>128665.77643110072</v>
      </c>
    </row>
    <row r="105" spans="1:6" x14ac:dyDescent="0.3">
      <c r="A105" s="12" t="s">
        <v>3</v>
      </c>
      <c r="B105" s="12" t="s">
        <v>48</v>
      </c>
      <c r="C105" s="12" t="s">
        <v>3</v>
      </c>
      <c r="D105" s="12" t="s">
        <v>3</v>
      </c>
      <c r="E105" s="12" t="s">
        <v>3</v>
      </c>
      <c r="F105" s="14">
        <f>F103+F104</f>
        <v>986437.61930510553</v>
      </c>
    </row>
    <row r="106" spans="1:6" x14ac:dyDescent="0.3">
      <c r="A106" s="16" t="s">
        <v>3</v>
      </c>
      <c r="B106" s="16" t="s">
        <v>47</v>
      </c>
      <c r="C106" s="16" t="s">
        <v>3</v>
      </c>
      <c r="D106" s="16" t="s">
        <v>3</v>
      </c>
      <c r="E106" s="16" t="s">
        <v>3</v>
      </c>
      <c r="F106" s="15">
        <f>(F79+F80+F81+F82+F83+F84+F85+F87+F88+F89+F90+F91+F92+F93+F94+F95+F98+F100+F102+F104)*0.01</f>
        <v>9864.3761930510555</v>
      </c>
    </row>
    <row r="107" spans="1:6" x14ac:dyDescent="0.3">
      <c r="A107" s="12" t="s">
        <v>3</v>
      </c>
      <c r="B107" s="12" t="s">
        <v>241</v>
      </c>
      <c r="C107" s="12" t="s">
        <v>3</v>
      </c>
      <c r="D107" s="12" t="s">
        <v>3</v>
      </c>
      <c r="E107" s="12" t="s">
        <v>3</v>
      </c>
      <c r="F107" s="14">
        <f>F105+F106</f>
        <v>996301.99549815664</v>
      </c>
    </row>
    <row r="108" spans="1:6" ht="15.6" x14ac:dyDescent="0.3">
      <c r="A108" s="12" t="s">
        <v>3</v>
      </c>
      <c r="B108" s="12" t="s">
        <v>45</v>
      </c>
      <c r="C108" s="12" t="s">
        <v>3</v>
      </c>
      <c r="D108" s="12" t="s">
        <v>3</v>
      </c>
      <c r="E108" s="12" t="s">
        <v>3</v>
      </c>
      <c r="F108" s="13">
        <f>F107/91.8</f>
        <v>10852.962913923275</v>
      </c>
    </row>
    <row r="109" spans="1:6" ht="15.6" x14ac:dyDescent="0.3">
      <c r="A109" s="12" t="s">
        <v>3</v>
      </c>
      <c r="B109" s="12" t="s">
        <v>3</v>
      </c>
      <c r="C109" s="12" t="s">
        <v>3</v>
      </c>
      <c r="D109" s="12" t="s">
        <v>3</v>
      </c>
      <c r="E109" s="11" t="s">
        <v>44</v>
      </c>
      <c r="F109" s="10">
        <f>MROUND(F108, 0.05)</f>
        <v>10852.95</v>
      </c>
    </row>
    <row r="112" spans="1:6" x14ac:dyDescent="0.3">
      <c r="A112" s="12" t="s">
        <v>62</v>
      </c>
      <c r="B112" s="12" t="s">
        <v>20</v>
      </c>
    </row>
    <row r="113" spans="1:6" ht="48" customHeight="1" x14ac:dyDescent="0.3">
      <c r="A113" s="12" t="s">
        <v>61</v>
      </c>
      <c r="B113" s="22" t="s">
        <v>240</v>
      </c>
      <c r="C113" s="22"/>
      <c r="D113" s="22"/>
      <c r="E113" s="22"/>
      <c r="F113" s="22"/>
    </row>
    <row r="114" spans="1:6" x14ac:dyDescent="0.3">
      <c r="A114" s="12" t="s">
        <v>60</v>
      </c>
      <c r="B114" s="12" t="s">
        <v>239</v>
      </c>
    </row>
    <row r="115" spans="1:6" x14ac:dyDescent="0.3">
      <c r="A115" s="21" t="s">
        <v>7</v>
      </c>
      <c r="B115" s="21" t="s">
        <v>56</v>
      </c>
      <c r="C115" s="21" t="s">
        <v>9</v>
      </c>
      <c r="D115" s="21" t="s">
        <v>10</v>
      </c>
      <c r="E115" s="21" t="s">
        <v>58</v>
      </c>
      <c r="F115" s="21" t="s">
        <v>57</v>
      </c>
    </row>
    <row r="116" spans="1:6" ht="16.05" customHeight="1" x14ac:dyDescent="0.3">
      <c r="A116" s="19" t="s">
        <v>3</v>
      </c>
      <c r="B116" s="20" t="s">
        <v>56</v>
      </c>
      <c r="C116" s="19" t="s">
        <v>3</v>
      </c>
      <c r="D116" s="19" t="s">
        <v>3</v>
      </c>
      <c r="E116" s="19" t="s">
        <v>3</v>
      </c>
      <c r="F116" s="19" t="s">
        <v>3</v>
      </c>
    </row>
    <row r="117" spans="1:6" ht="16.05" customHeight="1" x14ac:dyDescent="0.3">
      <c r="A117" s="19" t="s">
        <v>3</v>
      </c>
      <c r="B117" s="20" t="s">
        <v>238</v>
      </c>
      <c r="C117" s="19" t="s">
        <v>3</v>
      </c>
      <c r="D117" s="19" t="s">
        <v>3</v>
      </c>
      <c r="E117" s="19" t="s">
        <v>3</v>
      </c>
      <c r="F117" s="19" t="s">
        <v>3</v>
      </c>
    </row>
    <row r="118" spans="1:6" ht="16.05" customHeight="1" x14ac:dyDescent="0.3">
      <c r="A118" s="19" t="s">
        <v>3</v>
      </c>
      <c r="B118" s="20" t="s">
        <v>89</v>
      </c>
      <c r="C118" s="19" t="s">
        <v>3</v>
      </c>
      <c r="D118" s="19" t="s">
        <v>3</v>
      </c>
      <c r="E118" s="19" t="s">
        <v>3</v>
      </c>
      <c r="F118" s="19" t="s">
        <v>3</v>
      </c>
    </row>
    <row r="119" spans="1:6" ht="16.05" customHeight="1" x14ac:dyDescent="0.3">
      <c r="A119" s="19" t="s">
        <v>3</v>
      </c>
      <c r="B119" s="20" t="s">
        <v>237</v>
      </c>
      <c r="C119" s="19" t="s">
        <v>3</v>
      </c>
      <c r="D119" s="19" t="s">
        <v>3</v>
      </c>
      <c r="E119" s="19" t="s">
        <v>3</v>
      </c>
      <c r="F119" s="19" t="s">
        <v>3</v>
      </c>
    </row>
    <row r="120" spans="1:6" ht="16.05" customHeight="1" x14ac:dyDescent="0.3">
      <c r="A120" s="19" t="s">
        <v>3</v>
      </c>
      <c r="B120" s="20" t="s">
        <v>236</v>
      </c>
      <c r="C120" s="19" t="s">
        <v>3</v>
      </c>
      <c r="D120" s="19" t="s">
        <v>3</v>
      </c>
      <c r="E120" s="19" t="s">
        <v>3</v>
      </c>
      <c r="F120" s="19" t="s">
        <v>3</v>
      </c>
    </row>
    <row r="121" spans="1:6" ht="16.05" customHeight="1" x14ac:dyDescent="0.3">
      <c r="A121" s="19" t="s">
        <v>3</v>
      </c>
      <c r="B121" s="20" t="s">
        <v>235</v>
      </c>
      <c r="C121" s="19" t="s">
        <v>3</v>
      </c>
      <c r="D121" s="19" t="s">
        <v>3</v>
      </c>
      <c r="E121" s="19" t="s">
        <v>3</v>
      </c>
      <c r="F121" s="19" t="s">
        <v>3</v>
      </c>
    </row>
    <row r="122" spans="1:6" ht="16.05" customHeight="1" x14ac:dyDescent="0.3">
      <c r="A122" s="16" t="s">
        <v>234</v>
      </c>
      <c r="B122" s="18" t="s">
        <v>233</v>
      </c>
      <c r="C122" s="16" t="s">
        <v>170</v>
      </c>
      <c r="D122" s="17">
        <v>1.05</v>
      </c>
      <c r="E122" s="15">
        <v>5550</v>
      </c>
      <c r="F122" s="15">
        <f>D122*E122</f>
        <v>5827.5</v>
      </c>
    </row>
    <row r="123" spans="1:6" ht="16.05" customHeight="1" x14ac:dyDescent="0.3">
      <c r="A123" s="16" t="s">
        <v>133</v>
      </c>
      <c r="B123" s="18" t="s">
        <v>132</v>
      </c>
      <c r="C123" s="16" t="s">
        <v>131</v>
      </c>
      <c r="D123" s="17">
        <v>0.105</v>
      </c>
      <c r="E123" s="15">
        <v>0</v>
      </c>
      <c r="F123" s="15">
        <f>D123*E123</f>
        <v>0</v>
      </c>
    </row>
    <row r="124" spans="1:6" ht="16.05" customHeight="1" x14ac:dyDescent="0.3">
      <c r="A124" s="16" t="s">
        <v>67</v>
      </c>
      <c r="B124" s="18" t="s">
        <v>232</v>
      </c>
      <c r="C124" s="16" t="s">
        <v>65</v>
      </c>
      <c r="D124" s="17">
        <v>26</v>
      </c>
      <c r="E124" s="15">
        <v>2.27</v>
      </c>
      <c r="F124" s="15">
        <f>D124*E124</f>
        <v>59.02</v>
      </c>
    </row>
    <row r="125" spans="1:6" ht="16.05" customHeight="1" x14ac:dyDescent="0.3">
      <c r="A125" s="19" t="s">
        <v>3</v>
      </c>
      <c r="B125" s="20" t="s">
        <v>75</v>
      </c>
      <c r="C125" s="19" t="s">
        <v>3</v>
      </c>
      <c r="D125" s="19" t="s">
        <v>3</v>
      </c>
      <c r="E125" s="19" t="s">
        <v>3</v>
      </c>
      <c r="F125" s="19" t="s">
        <v>3</v>
      </c>
    </row>
    <row r="126" spans="1:6" ht="28.8" customHeight="1" x14ac:dyDescent="0.3">
      <c r="A126" s="19" t="s">
        <v>3</v>
      </c>
      <c r="B126" s="20" t="s">
        <v>231</v>
      </c>
      <c r="C126" s="19" t="s">
        <v>3</v>
      </c>
      <c r="D126" s="19" t="s">
        <v>3</v>
      </c>
      <c r="E126" s="19" t="s">
        <v>3</v>
      </c>
      <c r="F126" s="19" t="s">
        <v>3</v>
      </c>
    </row>
    <row r="127" spans="1:6" ht="16.05" customHeight="1" x14ac:dyDescent="0.3">
      <c r="A127" s="16" t="s">
        <v>115</v>
      </c>
      <c r="B127" s="18" t="s">
        <v>114</v>
      </c>
      <c r="C127" s="16" t="s">
        <v>68</v>
      </c>
      <c r="D127" s="17">
        <v>1</v>
      </c>
      <c r="E127" s="15">
        <v>897</v>
      </c>
      <c r="F127" s="15">
        <f>D127*E127</f>
        <v>897</v>
      </c>
    </row>
    <row r="128" spans="1:6" ht="16.05" customHeight="1" x14ac:dyDescent="0.3">
      <c r="A128" s="16" t="s">
        <v>74</v>
      </c>
      <c r="B128" s="18" t="s">
        <v>73</v>
      </c>
      <c r="C128" s="16" t="s">
        <v>68</v>
      </c>
      <c r="D128" s="17">
        <v>1</v>
      </c>
      <c r="E128" s="15">
        <v>736</v>
      </c>
      <c r="F128" s="15">
        <f>D128*E128</f>
        <v>736</v>
      </c>
    </row>
    <row r="129" spans="1:6" ht="16.05" customHeight="1" x14ac:dyDescent="0.3">
      <c r="A129" s="16" t="s">
        <v>67</v>
      </c>
      <c r="B129" s="18" t="s">
        <v>230</v>
      </c>
      <c r="C129" s="16" t="s">
        <v>65</v>
      </c>
      <c r="D129" s="17">
        <v>26.91</v>
      </c>
      <c r="E129" s="15">
        <v>2.27</v>
      </c>
      <c r="F129" s="15">
        <f>D129*E129</f>
        <v>61.085700000000003</v>
      </c>
    </row>
    <row r="130" spans="1:6" x14ac:dyDescent="0.3">
      <c r="A130" s="12" t="s">
        <v>3</v>
      </c>
      <c r="B130" s="12" t="s">
        <v>48</v>
      </c>
      <c r="C130" s="12" t="s">
        <v>3</v>
      </c>
      <c r="D130" s="12" t="s">
        <v>3</v>
      </c>
      <c r="E130" s="12" t="s">
        <v>3</v>
      </c>
      <c r="F130" s="14">
        <f>(F122+F123+F124+F127+F128+F129+0)</f>
        <v>7580.6057000000001</v>
      </c>
    </row>
    <row r="131" spans="1:6" x14ac:dyDescent="0.3">
      <c r="A131" s="16" t="s">
        <v>3</v>
      </c>
      <c r="B131" s="16" t="s">
        <v>51</v>
      </c>
      <c r="C131" s="16" t="s">
        <v>3</v>
      </c>
      <c r="D131" s="16" t="s">
        <v>3</v>
      </c>
      <c r="E131" s="16" t="s">
        <v>3</v>
      </c>
      <c r="F131" s="15">
        <f>(F122+F123+F124+F127+F128+F129)*0.01</f>
        <v>75.806056999999996</v>
      </c>
    </row>
    <row r="132" spans="1:6" x14ac:dyDescent="0.3">
      <c r="A132" s="12" t="s">
        <v>3</v>
      </c>
      <c r="B132" s="12" t="s">
        <v>48</v>
      </c>
      <c r="C132" s="12" t="s">
        <v>3</v>
      </c>
      <c r="D132" s="12" t="s">
        <v>3</v>
      </c>
      <c r="E132" s="12" t="s">
        <v>3</v>
      </c>
      <c r="F132" s="14">
        <f>F130+F131</f>
        <v>7656.4117569999999</v>
      </c>
    </row>
    <row r="133" spans="1:6" x14ac:dyDescent="0.3">
      <c r="A133" s="16" t="s">
        <v>3</v>
      </c>
      <c r="B133" s="16" t="s">
        <v>50</v>
      </c>
      <c r="C133" s="16" t="s">
        <v>3</v>
      </c>
      <c r="D133" s="16" t="s">
        <v>3</v>
      </c>
      <c r="E133" s="16" t="s">
        <v>3</v>
      </c>
      <c r="F133" s="15">
        <f>(F122+F123+F124+F127+F128+F129+F131)*0.2127</f>
        <v>1628.5187807139</v>
      </c>
    </row>
    <row r="134" spans="1:6" x14ac:dyDescent="0.3">
      <c r="A134" s="12" t="s">
        <v>3</v>
      </c>
      <c r="B134" s="12" t="s">
        <v>48</v>
      </c>
      <c r="C134" s="12" t="s">
        <v>3</v>
      </c>
      <c r="D134" s="12" t="s">
        <v>3</v>
      </c>
      <c r="E134" s="12" t="s">
        <v>3</v>
      </c>
      <c r="F134" s="14">
        <f>F132+F133</f>
        <v>9284.930537713899</v>
      </c>
    </row>
    <row r="135" spans="1:6" x14ac:dyDescent="0.3">
      <c r="A135" s="16" t="s">
        <v>3</v>
      </c>
      <c r="B135" s="16" t="s">
        <v>49</v>
      </c>
      <c r="C135" s="16" t="s">
        <v>3</v>
      </c>
      <c r="D135" s="16" t="s">
        <v>3</v>
      </c>
      <c r="E135" s="16" t="s">
        <v>3</v>
      </c>
      <c r="F135" s="15">
        <f>(F122+F123+F124+F127+F128+F129+F131+F133)*0.15</f>
        <v>1392.7395806570848</v>
      </c>
    </row>
    <row r="136" spans="1:6" x14ac:dyDescent="0.3">
      <c r="A136" s="12" t="s">
        <v>3</v>
      </c>
      <c r="B136" s="12" t="s">
        <v>48</v>
      </c>
      <c r="C136" s="12" t="s">
        <v>3</v>
      </c>
      <c r="D136" s="12" t="s">
        <v>3</v>
      </c>
      <c r="E136" s="12" t="s">
        <v>3</v>
      </c>
      <c r="F136" s="14">
        <f>F134+F135</f>
        <v>10677.670118370985</v>
      </c>
    </row>
    <row r="137" spans="1:6" x14ac:dyDescent="0.3">
      <c r="A137" s="16" t="s">
        <v>3</v>
      </c>
      <c r="B137" s="16" t="s">
        <v>47</v>
      </c>
      <c r="C137" s="16" t="s">
        <v>3</v>
      </c>
      <c r="D137" s="16" t="s">
        <v>3</v>
      </c>
      <c r="E137" s="16" t="s">
        <v>3</v>
      </c>
      <c r="F137" s="15">
        <f>(F122+F123+F124+F127+F128+F129+F131+F133+F135)*0.01</f>
        <v>106.77670118370985</v>
      </c>
    </row>
    <row r="138" spans="1:6" x14ac:dyDescent="0.3">
      <c r="A138" s="12" t="s">
        <v>3</v>
      </c>
      <c r="B138" s="12" t="s">
        <v>229</v>
      </c>
      <c r="C138" s="12" t="s">
        <v>3</v>
      </c>
      <c r="D138" s="12" t="s">
        <v>3</v>
      </c>
      <c r="E138" s="12" t="s">
        <v>3</v>
      </c>
      <c r="F138" s="14">
        <f>F136+F137</f>
        <v>10784.446819554694</v>
      </c>
    </row>
    <row r="139" spans="1:6" ht="15.6" x14ac:dyDescent="0.3">
      <c r="A139" s="12" t="s">
        <v>3</v>
      </c>
      <c r="B139" s="12" t="s">
        <v>228</v>
      </c>
      <c r="C139" s="12" t="s">
        <v>3</v>
      </c>
      <c r="D139" s="12" t="s">
        <v>3</v>
      </c>
      <c r="E139" s="12" t="s">
        <v>3</v>
      </c>
      <c r="F139" s="13">
        <f>F138/1</f>
        <v>10784.446819554694</v>
      </c>
    </row>
    <row r="140" spans="1:6" ht="15.6" x14ac:dyDescent="0.3">
      <c r="A140" s="12" t="s">
        <v>3</v>
      </c>
      <c r="B140" s="12" t="s">
        <v>3</v>
      </c>
      <c r="C140" s="12" t="s">
        <v>3</v>
      </c>
      <c r="D140" s="12" t="s">
        <v>3</v>
      </c>
      <c r="E140" s="11" t="s">
        <v>44</v>
      </c>
      <c r="F140" s="10">
        <f>MROUND(F139, 0.05)</f>
        <v>10784.45</v>
      </c>
    </row>
    <row r="143" spans="1:6" x14ac:dyDescent="0.3">
      <c r="A143" s="12" t="s">
        <v>62</v>
      </c>
      <c r="B143" s="12" t="s">
        <v>23</v>
      </c>
    </row>
    <row r="144" spans="1:6" ht="48" customHeight="1" x14ac:dyDescent="0.3">
      <c r="A144" s="12" t="s">
        <v>61</v>
      </c>
      <c r="B144" s="22" t="s">
        <v>227</v>
      </c>
      <c r="C144" s="22"/>
      <c r="D144" s="22"/>
      <c r="E144" s="22"/>
      <c r="F144" s="22"/>
    </row>
    <row r="145" spans="1:6" x14ac:dyDescent="0.3">
      <c r="A145" s="12" t="s">
        <v>60</v>
      </c>
      <c r="B145" s="12" t="s">
        <v>226</v>
      </c>
    </row>
    <row r="146" spans="1:6" x14ac:dyDescent="0.3">
      <c r="A146" s="21" t="s">
        <v>7</v>
      </c>
      <c r="B146" s="21" t="s">
        <v>56</v>
      </c>
      <c r="C146" s="21" t="s">
        <v>9</v>
      </c>
      <c r="D146" s="21" t="s">
        <v>10</v>
      </c>
      <c r="E146" s="21" t="s">
        <v>58</v>
      </c>
      <c r="F146" s="21" t="s">
        <v>57</v>
      </c>
    </row>
    <row r="147" spans="1:6" ht="16.05" customHeight="1" x14ac:dyDescent="0.3">
      <c r="A147" s="19" t="s">
        <v>3</v>
      </c>
      <c r="B147" s="20" t="s">
        <v>56</v>
      </c>
      <c r="C147" s="19" t="s">
        <v>3</v>
      </c>
      <c r="D147" s="19" t="s">
        <v>3</v>
      </c>
      <c r="E147" s="19" t="s">
        <v>3</v>
      </c>
      <c r="F147" s="19" t="s">
        <v>3</v>
      </c>
    </row>
    <row r="148" spans="1:6" ht="16.05" customHeight="1" x14ac:dyDescent="0.3">
      <c r="A148" s="19" t="s">
        <v>3</v>
      </c>
      <c r="B148" s="20" t="s">
        <v>225</v>
      </c>
      <c r="C148" s="19" t="s">
        <v>3</v>
      </c>
      <c r="D148" s="19" t="s">
        <v>3</v>
      </c>
      <c r="E148" s="19" t="s">
        <v>3</v>
      </c>
      <c r="F148" s="19" t="s">
        <v>3</v>
      </c>
    </row>
    <row r="149" spans="1:6" ht="16.05" customHeight="1" x14ac:dyDescent="0.3">
      <c r="A149" s="19" t="s">
        <v>3</v>
      </c>
      <c r="B149" s="20" t="s">
        <v>224</v>
      </c>
      <c r="C149" s="19" t="s">
        <v>3</v>
      </c>
      <c r="D149" s="19" t="s">
        <v>3</v>
      </c>
      <c r="E149" s="19" t="s">
        <v>3</v>
      </c>
      <c r="F149" s="19" t="s">
        <v>3</v>
      </c>
    </row>
    <row r="150" spans="1:6" ht="16.05" customHeight="1" x14ac:dyDescent="0.3">
      <c r="A150" s="19" t="s">
        <v>3</v>
      </c>
      <c r="B150" s="20" t="s">
        <v>223</v>
      </c>
      <c r="C150" s="19" t="s">
        <v>3</v>
      </c>
      <c r="D150" s="19" t="s">
        <v>3</v>
      </c>
      <c r="E150" s="19" t="s">
        <v>3</v>
      </c>
      <c r="F150" s="19" t="s">
        <v>3</v>
      </c>
    </row>
    <row r="151" spans="1:6" ht="16.05" customHeight="1" x14ac:dyDescent="0.3">
      <c r="A151" s="19" t="s">
        <v>3</v>
      </c>
      <c r="B151" s="20" t="s">
        <v>89</v>
      </c>
      <c r="C151" s="19" t="s">
        <v>3</v>
      </c>
      <c r="D151" s="19" t="s">
        <v>3</v>
      </c>
      <c r="E151" s="19" t="s">
        <v>3</v>
      </c>
      <c r="F151" s="19" t="s">
        <v>3</v>
      </c>
    </row>
    <row r="152" spans="1:6" ht="28.8" customHeight="1" x14ac:dyDescent="0.3">
      <c r="A152" s="19" t="s">
        <v>3</v>
      </c>
      <c r="B152" s="20" t="s">
        <v>222</v>
      </c>
      <c r="C152" s="19" t="s">
        <v>3</v>
      </c>
      <c r="D152" s="19" t="s">
        <v>3</v>
      </c>
      <c r="E152" s="19" t="s">
        <v>3</v>
      </c>
      <c r="F152" s="19" t="s">
        <v>3</v>
      </c>
    </row>
    <row r="153" spans="1:6" ht="16.05" customHeight="1" x14ac:dyDescent="0.3">
      <c r="A153" s="19" t="s">
        <v>3</v>
      </c>
      <c r="B153" s="20" t="s">
        <v>221</v>
      </c>
      <c r="C153" s="19" t="s">
        <v>3</v>
      </c>
      <c r="D153" s="19" t="s">
        <v>3</v>
      </c>
      <c r="E153" s="19" t="s">
        <v>3</v>
      </c>
      <c r="F153" s="19" t="s">
        <v>3</v>
      </c>
    </row>
    <row r="154" spans="1:6" ht="28.8" customHeight="1" x14ac:dyDescent="0.3">
      <c r="A154" s="19" t="s">
        <v>3</v>
      </c>
      <c r="B154" s="20" t="s">
        <v>220</v>
      </c>
      <c r="C154" s="19" t="s">
        <v>3</v>
      </c>
      <c r="D154" s="19" t="s">
        <v>3</v>
      </c>
      <c r="E154" s="19" t="s">
        <v>3</v>
      </c>
      <c r="F154" s="19" t="s">
        <v>3</v>
      </c>
    </row>
    <row r="155" spans="1:6" ht="16.05" customHeight="1" x14ac:dyDescent="0.3">
      <c r="A155" s="16" t="s">
        <v>219</v>
      </c>
      <c r="B155" s="18" t="s">
        <v>218</v>
      </c>
      <c r="C155" s="16" t="s">
        <v>164</v>
      </c>
      <c r="D155" s="17">
        <v>0.17</v>
      </c>
      <c r="E155" s="15">
        <v>900</v>
      </c>
      <c r="F155" s="15">
        <f>D155*E155</f>
        <v>153</v>
      </c>
    </row>
    <row r="156" spans="1:6" ht="16.05" customHeight="1" x14ac:dyDescent="0.3">
      <c r="A156" s="19" t="s">
        <v>3</v>
      </c>
      <c r="B156" s="20" t="s">
        <v>217</v>
      </c>
      <c r="C156" s="19" t="s">
        <v>3</v>
      </c>
      <c r="D156" s="19" t="s">
        <v>3</v>
      </c>
      <c r="E156" s="19" t="s">
        <v>3</v>
      </c>
      <c r="F156" s="19" t="s">
        <v>3</v>
      </c>
    </row>
    <row r="157" spans="1:6" ht="16.05" customHeight="1" x14ac:dyDescent="0.3">
      <c r="A157" s="16" t="s">
        <v>216</v>
      </c>
      <c r="B157" s="18" t="s">
        <v>215</v>
      </c>
      <c r="C157" s="16" t="s">
        <v>164</v>
      </c>
      <c r="D157" s="17">
        <v>8.5000000000000006E-2</v>
      </c>
      <c r="E157" s="15">
        <v>275</v>
      </c>
      <c r="F157" s="15">
        <f>D157*E157</f>
        <v>23.375</v>
      </c>
    </row>
    <row r="158" spans="1:6" ht="16.05" customHeight="1" x14ac:dyDescent="0.3">
      <c r="A158" s="19" t="s">
        <v>3</v>
      </c>
      <c r="B158" s="20" t="s">
        <v>209</v>
      </c>
      <c r="C158" s="19" t="s">
        <v>3</v>
      </c>
      <c r="D158" s="19" t="s">
        <v>3</v>
      </c>
      <c r="E158" s="19" t="s">
        <v>3</v>
      </c>
      <c r="F158" s="19" t="s">
        <v>3</v>
      </c>
    </row>
    <row r="159" spans="1:6" ht="16.05" customHeight="1" x14ac:dyDescent="0.3">
      <c r="A159" s="16" t="s">
        <v>214</v>
      </c>
      <c r="B159" s="18" t="s">
        <v>213</v>
      </c>
      <c r="C159" s="16" t="s">
        <v>164</v>
      </c>
      <c r="D159" s="17">
        <v>0.10630000000000001</v>
      </c>
      <c r="E159" s="15">
        <v>1020</v>
      </c>
      <c r="F159" s="15">
        <f>D159*E159</f>
        <v>108.426</v>
      </c>
    </row>
    <row r="160" spans="1:6" ht="16.05" customHeight="1" x14ac:dyDescent="0.3">
      <c r="A160" s="19" t="s">
        <v>3</v>
      </c>
      <c r="B160" s="20" t="s">
        <v>212</v>
      </c>
      <c r="C160" s="19" t="s">
        <v>3</v>
      </c>
      <c r="D160" s="19" t="s">
        <v>3</v>
      </c>
      <c r="E160" s="19" t="s">
        <v>3</v>
      </c>
      <c r="F160" s="19" t="s">
        <v>3</v>
      </c>
    </row>
    <row r="161" spans="1:6" ht="16.05" customHeight="1" x14ac:dyDescent="0.3">
      <c r="A161" s="16" t="s">
        <v>211</v>
      </c>
      <c r="B161" s="18" t="s">
        <v>210</v>
      </c>
      <c r="C161" s="16" t="s">
        <v>164</v>
      </c>
      <c r="D161" s="17">
        <v>8.5000000000000006E-2</v>
      </c>
      <c r="E161" s="15">
        <v>690</v>
      </c>
      <c r="F161" s="15">
        <f>D161*E161</f>
        <v>58.650000000000006</v>
      </c>
    </row>
    <row r="162" spans="1:6" ht="16.05" customHeight="1" x14ac:dyDescent="0.3">
      <c r="A162" s="19" t="s">
        <v>3</v>
      </c>
      <c r="B162" s="20" t="s">
        <v>209</v>
      </c>
      <c r="C162" s="19" t="s">
        <v>3</v>
      </c>
      <c r="D162" s="19" t="s">
        <v>3</v>
      </c>
      <c r="E162" s="19" t="s">
        <v>3</v>
      </c>
      <c r="F162" s="19" t="s">
        <v>3</v>
      </c>
    </row>
    <row r="163" spans="1:6" ht="16.05" customHeight="1" x14ac:dyDescent="0.3">
      <c r="A163" s="16" t="s">
        <v>67</v>
      </c>
      <c r="B163" s="18" t="s">
        <v>208</v>
      </c>
      <c r="C163" s="16" t="s">
        <v>65</v>
      </c>
      <c r="D163" s="17">
        <v>27.62</v>
      </c>
      <c r="E163" s="15">
        <v>2.27</v>
      </c>
      <c r="F163" s="15">
        <f>D163*E163</f>
        <v>62.697400000000002</v>
      </c>
    </row>
    <row r="164" spans="1:6" ht="16.05" customHeight="1" x14ac:dyDescent="0.3">
      <c r="A164" s="16" t="s">
        <v>104</v>
      </c>
      <c r="B164" s="18" t="s">
        <v>207</v>
      </c>
      <c r="C164" s="16" t="s">
        <v>65</v>
      </c>
      <c r="D164" s="17">
        <v>52</v>
      </c>
      <c r="E164" s="15">
        <v>2.27</v>
      </c>
      <c r="F164" s="15">
        <f>D164*E164</f>
        <v>118.04</v>
      </c>
    </row>
    <row r="165" spans="1:6" ht="16.05" customHeight="1" x14ac:dyDescent="0.3">
      <c r="A165" s="19" t="s">
        <v>3</v>
      </c>
      <c r="B165" s="20" t="s">
        <v>75</v>
      </c>
      <c r="C165" s="19" t="s">
        <v>3</v>
      </c>
      <c r="D165" s="19" t="s">
        <v>3</v>
      </c>
      <c r="E165" s="19" t="s">
        <v>3</v>
      </c>
      <c r="F165" s="19" t="s">
        <v>3</v>
      </c>
    </row>
    <row r="166" spans="1:6" ht="16.05" customHeight="1" x14ac:dyDescent="0.3">
      <c r="A166" s="16" t="s">
        <v>158</v>
      </c>
      <c r="B166" s="18" t="s">
        <v>157</v>
      </c>
      <c r="C166" s="16" t="s">
        <v>68</v>
      </c>
      <c r="D166" s="17">
        <v>1</v>
      </c>
      <c r="E166" s="15">
        <v>897</v>
      </c>
      <c r="F166" s="15">
        <f>D166*E166</f>
        <v>897</v>
      </c>
    </row>
    <row r="167" spans="1:6" ht="16.05" customHeight="1" x14ac:dyDescent="0.3">
      <c r="A167" s="16" t="s">
        <v>74</v>
      </c>
      <c r="B167" s="18" t="s">
        <v>73</v>
      </c>
      <c r="C167" s="16" t="s">
        <v>68</v>
      </c>
      <c r="D167" s="17">
        <v>2</v>
      </c>
      <c r="E167" s="15">
        <v>736</v>
      </c>
      <c r="F167" s="15">
        <f>D167*E167</f>
        <v>1472</v>
      </c>
    </row>
    <row r="168" spans="1:6" ht="16.05" customHeight="1" x14ac:dyDescent="0.3">
      <c r="A168" s="16" t="s">
        <v>67</v>
      </c>
      <c r="B168" s="18" t="s">
        <v>206</v>
      </c>
      <c r="C168" s="16" t="s">
        <v>65</v>
      </c>
      <c r="D168" s="17">
        <v>39</v>
      </c>
      <c r="E168" s="15">
        <v>2.27</v>
      </c>
      <c r="F168" s="15">
        <f>D168*E168</f>
        <v>88.53</v>
      </c>
    </row>
    <row r="169" spans="1:6" ht="16.05" customHeight="1" x14ac:dyDescent="0.3">
      <c r="A169" s="16" t="s">
        <v>104</v>
      </c>
      <c r="B169" s="18" t="s">
        <v>103</v>
      </c>
      <c r="C169" s="16" t="s">
        <v>65</v>
      </c>
      <c r="D169" s="17">
        <v>26</v>
      </c>
      <c r="E169" s="15">
        <v>2.27</v>
      </c>
      <c r="F169" s="15">
        <f>D169*E169</f>
        <v>59.02</v>
      </c>
    </row>
    <row r="170" spans="1:6" x14ac:dyDescent="0.3">
      <c r="A170" s="12" t="s">
        <v>3</v>
      </c>
      <c r="B170" s="12" t="s">
        <v>48</v>
      </c>
      <c r="C170" s="12" t="s">
        <v>3</v>
      </c>
      <c r="D170" s="12" t="s">
        <v>3</v>
      </c>
      <c r="E170" s="12" t="s">
        <v>3</v>
      </c>
      <c r="F170" s="14">
        <f>(F155+F157+F159+F161+F163+F164+F166+F167+F168+F169+0)</f>
        <v>3040.7384000000002</v>
      </c>
    </row>
    <row r="171" spans="1:6" x14ac:dyDescent="0.3">
      <c r="A171" s="16" t="s">
        <v>3</v>
      </c>
      <c r="B171" s="16" t="s">
        <v>51</v>
      </c>
      <c r="C171" s="16" t="s">
        <v>3</v>
      </c>
      <c r="D171" s="16" t="s">
        <v>3</v>
      </c>
      <c r="E171" s="16" t="s">
        <v>3</v>
      </c>
      <c r="F171" s="15">
        <f>(F155+F157+F159+F161+F163+F164+F166+F167+F168+F169)*0.01</f>
        <v>30.407384000000004</v>
      </c>
    </row>
    <row r="172" spans="1:6" x14ac:dyDescent="0.3">
      <c r="A172" s="12" t="s">
        <v>3</v>
      </c>
      <c r="B172" s="12" t="s">
        <v>48</v>
      </c>
      <c r="C172" s="12" t="s">
        <v>3</v>
      </c>
      <c r="D172" s="12" t="s">
        <v>3</v>
      </c>
      <c r="E172" s="12" t="s">
        <v>3</v>
      </c>
      <c r="F172" s="14">
        <f>F170+F171</f>
        <v>3071.1457840000003</v>
      </c>
    </row>
    <row r="173" spans="1:6" x14ac:dyDescent="0.3">
      <c r="A173" s="16" t="s">
        <v>3</v>
      </c>
      <c r="B173" s="16" t="s">
        <v>50</v>
      </c>
      <c r="C173" s="16" t="s">
        <v>3</v>
      </c>
      <c r="D173" s="16" t="s">
        <v>3</v>
      </c>
      <c r="E173" s="16" t="s">
        <v>3</v>
      </c>
      <c r="F173" s="15">
        <f>(F155+F157+F159+F161+F163+F164+F166+F167+F168+F169+F171)*0.2127</f>
        <v>653.23270825680004</v>
      </c>
    </row>
    <row r="174" spans="1:6" x14ac:dyDescent="0.3">
      <c r="A174" s="12" t="s">
        <v>3</v>
      </c>
      <c r="B174" s="12" t="s">
        <v>48</v>
      </c>
      <c r="C174" s="12" t="s">
        <v>3</v>
      </c>
      <c r="D174" s="12" t="s">
        <v>3</v>
      </c>
      <c r="E174" s="12" t="s">
        <v>3</v>
      </c>
      <c r="F174" s="14">
        <f>F172+F173</f>
        <v>3724.3784922568002</v>
      </c>
    </row>
    <row r="175" spans="1:6" x14ac:dyDescent="0.3">
      <c r="A175" s="16" t="s">
        <v>3</v>
      </c>
      <c r="B175" s="16" t="s">
        <v>49</v>
      </c>
      <c r="C175" s="16" t="s">
        <v>3</v>
      </c>
      <c r="D175" s="16" t="s">
        <v>3</v>
      </c>
      <c r="E175" s="16" t="s">
        <v>3</v>
      </c>
      <c r="F175" s="15">
        <f>(F155+F157+F159+F161+F163+F164+F166+F167+F168+F169+F171+F173)*0.15</f>
        <v>558.65677383852005</v>
      </c>
    </row>
    <row r="176" spans="1:6" x14ac:dyDescent="0.3">
      <c r="A176" s="12" t="s">
        <v>3</v>
      </c>
      <c r="B176" s="12" t="s">
        <v>48</v>
      </c>
      <c r="C176" s="12" t="s">
        <v>3</v>
      </c>
      <c r="D176" s="12" t="s">
        <v>3</v>
      </c>
      <c r="E176" s="12" t="s">
        <v>3</v>
      </c>
      <c r="F176" s="14">
        <f>F174+F175</f>
        <v>4283.0352660953204</v>
      </c>
    </row>
    <row r="177" spans="1:6" x14ac:dyDescent="0.3">
      <c r="A177" s="16" t="s">
        <v>3</v>
      </c>
      <c r="B177" s="16" t="s">
        <v>47</v>
      </c>
      <c r="C177" s="16" t="s">
        <v>3</v>
      </c>
      <c r="D177" s="16" t="s">
        <v>3</v>
      </c>
      <c r="E177" s="16" t="s">
        <v>3</v>
      </c>
      <c r="F177" s="15">
        <f>(F155+F157+F159+F161+F163+F164+F166+F167+F168+F169+F171+F173+F175)*0.01</f>
        <v>42.830352660953203</v>
      </c>
    </row>
    <row r="178" spans="1:6" x14ac:dyDescent="0.3">
      <c r="A178" s="12" t="s">
        <v>3</v>
      </c>
      <c r="B178" s="12" t="s">
        <v>205</v>
      </c>
      <c r="C178" s="12" t="s">
        <v>3</v>
      </c>
      <c r="D178" s="12" t="s">
        <v>3</v>
      </c>
      <c r="E178" s="12" t="s">
        <v>3</v>
      </c>
      <c r="F178" s="14">
        <f>F176+F177</f>
        <v>4325.8656187562738</v>
      </c>
    </row>
    <row r="179" spans="1:6" ht="15.6" x14ac:dyDescent="0.3">
      <c r="A179" s="12" t="s">
        <v>3</v>
      </c>
      <c r="B179" s="12" t="s">
        <v>63</v>
      </c>
      <c r="C179" s="12" t="s">
        <v>3</v>
      </c>
      <c r="D179" s="12" t="s">
        <v>3</v>
      </c>
      <c r="E179" s="12" t="s">
        <v>3</v>
      </c>
      <c r="F179" s="13">
        <f>F178/4.5</f>
        <v>961.30347083472748</v>
      </c>
    </row>
    <row r="180" spans="1:6" ht="15.6" x14ac:dyDescent="0.3">
      <c r="A180" s="12" t="s">
        <v>3</v>
      </c>
      <c r="B180" s="12" t="s">
        <v>3</v>
      </c>
      <c r="C180" s="12" t="s">
        <v>3</v>
      </c>
      <c r="D180" s="12" t="s">
        <v>3</v>
      </c>
      <c r="E180" s="11" t="s">
        <v>44</v>
      </c>
      <c r="F180" s="10">
        <f>MROUND(F179, 0.05)</f>
        <v>961.30000000000007</v>
      </c>
    </row>
    <row r="183" spans="1:6" x14ac:dyDescent="0.3">
      <c r="A183" s="12" t="s">
        <v>62</v>
      </c>
      <c r="B183" s="12" t="s">
        <v>26</v>
      </c>
    </row>
    <row r="184" spans="1:6" ht="48" customHeight="1" x14ac:dyDescent="0.3">
      <c r="A184" s="12" t="s">
        <v>61</v>
      </c>
      <c r="B184" s="22" t="s">
        <v>27</v>
      </c>
      <c r="C184" s="22"/>
      <c r="D184" s="22"/>
      <c r="E184" s="22"/>
      <c r="F184" s="22"/>
    </row>
    <row r="185" spans="1:6" x14ac:dyDescent="0.3">
      <c r="A185" s="12" t="s">
        <v>60</v>
      </c>
      <c r="B185" s="12" t="s">
        <v>112</v>
      </c>
    </row>
    <row r="186" spans="1:6" x14ac:dyDescent="0.3">
      <c r="A186" s="21" t="s">
        <v>7</v>
      </c>
      <c r="B186" s="21" t="s">
        <v>56</v>
      </c>
      <c r="C186" s="21" t="s">
        <v>9</v>
      </c>
      <c r="D186" s="21" t="s">
        <v>10</v>
      </c>
      <c r="E186" s="21" t="s">
        <v>58</v>
      </c>
      <c r="F186" s="21" t="s">
        <v>57</v>
      </c>
    </row>
    <row r="187" spans="1:6" ht="16.05" customHeight="1" x14ac:dyDescent="0.3">
      <c r="A187" s="19" t="s">
        <v>3</v>
      </c>
      <c r="B187" s="20" t="s">
        <v>56</v>
      </c>
      <c r="C187" s="19" t="s">
        <v>3</v>
      </c>
      <c r="D187" s="19" t="s">
        <v>3</v>
      </c>
      <c r="E187" s="19" t="s">
        <v>3</v>
      </c>
      <c r="F187" s="19" t="s">
        <v>3</v>
      </c>
    </row>
    <row r="188" spans="1:6" ht="16.05" customHeight="1" x14ac:dyDescent="0.3">
      <c r="A188" s="19" t="s">
        <v>3</v>
      </c>
      <c r="B188" s="20" t="s">
        <v>204</v>
      </c>
      <c r="C188" s="19" t="s">
        <v>3</v>
      </c>
      <c r="D188" s="19" t="s">
        <v>3</v>
      </c>
      <c r="E188" s="19" t="s">
        <v>3</v>
      </c>
      <c r="F188" s="19" t="s">
        <v>3</v>
      </c>
    </row>
    <row r="189" spans="1:6" ht="16.05" customHeight="1" x14ac:dyDescent="0.3">
      <c r="A189" s="19" t="s">
        <v>3</v>
      </c>
      <c r="B189" s="20" t="s">
        <v>75</v>
      </c>
      <c r="C189" s="19" t="s">
        <v>3</v>
      </c>
      <c r="D189" s="19" t="s">
        <v>3</v>
      </c>
      <c r="E189" s="19" t="s">
        <v>3</v>
      </c>
      <c r="F189" s="19" t="s">
        <v>3</v>
      </c>
    </row>
    <row r="190" spans="1:6" ht="16.05" customHeight="1" x14ac:dyDescent="0.3">
      <c r="A190" s="16" t="s">
        <v>203</v>
      </c>
      <c r="B190" s="18" t="s">
        <v>202</v>
      </c>
      <c r="C190" s="16" t="s">
        <v>68</v>
      </c>
      <c r="D190" s="17">
        <v>1</v>
      </c>
      <c r="E190" s="15">
        <v>350</v>
      </c>
      <c r="F190" s="15">
        <f>D190*E190</f>
        <v>350</v>
      </c>
    </row>
    <row r="191" spans="1:6" ht="16.05" customHeight="1" x14ac:dyDescent="0.3">
      <c r="A191" s="16" t="s">
        <v>74</v>
      </c>
      <c r="B191" s="18" t="s">
        <v>73</v>
      </c>
      <c r="C191" s="16" t="s">
        <v>68</v>
      </c>
      <c r="D191" s="17">
        <v>2.5</v>
      </c>
      <c r="E191" s="15">
        <v>736</v>
      </c>
      <c r="F191" s="15">
        <f>D191*E191</f>
        <v>1840</v>
      </c>
    </row>
    <row r="192" spans="1:6" ht="16.05" customHeight="1" x14ac:dyDescent="0.3">
      <c r="A192" s="16" t="s">
        <v>70</v>
      </c>
      <c r="B192" s="18" t="s">
        <v>69</v>
      </c>
      <c r="C192" s="16" t="s">
        <v>68</v>
      </c>
      <c r="D192" s="17">
        <v>1.5</v>
      </c>
      <c r="E192" s="15">
        <v>816</v>
      </c>
      <c r="F192" s="15">
        <f>D192*E192</f>
        <v>1224</v>
      </c>
    </row>
    <row r="193" spans="1:6" ht="16.05" customHeight="1" x14ac:dyDescent="0.3">
      <c r="A193" s="16" t="s">
        <v>67</v>
      </c>
      <c r="B193" s="18" t="s">
        <v>201</v>
      </c>
      <c r="C193" s="16" t="s">
        <v>65</v>
      </c>
      <c r="D193" s="17">
        <v>65</v>
      </c>
      <c r="E193" s="15">
        <v>2.27</v>
      </c>
      <c r="F193" s="15">
        <f>D193*E193</f>
        <v>147.55000000000001</v>
      </c>
    </row>
    <row r="194" spans="1:6" x14ac:dyDescent="0.3">
      <c r="A194" s="12" t="s">
        <v>3</v>
      </c>
      <c r="B194" s="12" t="s">
        <v>48</v>
      </c>
      <c r="C194" s="12" t="s">
        <v>3</v>
      </c>
      <c r="D194" s="12" t="s">
        <v>3</v>
      </c>
      <c r="E194" s="12" t="s">
        <v>3</v>
      </c>
      <c r="F194" s="14">
        <f>(F190+F191+F192+F193+0)</f>
        <v>3561.55</v>
      </c>
    </row>
    <row r="195" spans="1:6" x14ac:dyDescent="0.3">
      <c r="A195" s="16" t="s">
        <v>3</v>
      </c>
      <c r="B195" s="16" t="s">
        <v>51</v>
      </c>
      <c r="C195" s="16" t="s">
        <v>3</v>
      </c>
      <c r="D195" s="16" t="s">
        <v>3</v>
      </c>
      <c r="E195" s="16" t="s">
        <v>3</v>
      </c>
      <c r="F195" s="15">
        <f>(F190+F191+F192+F193)*0.01</f>
        <v>35.615500000000004</v>
      </c>
    </row>
    <row r="196" spans="1:6" x14ac:dyDescent="0.3">
      <c r="A196" s="12" t="s">
        <v>3</v>
      </c>
      <c r="B196" s="12" t="s">
        <v>48</v>
      </c>
      <c r="C196" s="12" t="s">
        <v>3</v>
      </c>
      <c r="D196" s="12" t="s">
        <v>3</v>
      </c>
      <c r="E196" s="12" t="s">
        <v>3</v>
      </c>
      <c r="F196" s="14">
        <f>F194+F195</f>
        <v>3597.1655000000001</v>
      </c>
    </row>
    <row r="197" spans="1:6" x14ac:dyDescent="0.3">
      <c r="A197" s="16" t="s">
        <v>3</v>
      </c>
      <c r="B197" s="16" t="s">
        <v>50</v>
      </c>
      <c r="C197" s="16" t="s">
        <v>3</v>
      </c>
      <c r="D197" s="16" t="s">
        <v>3</v>
      </c>
      <c r="E197" s="16" t="s">
        <v>3</v>
      </c>
      <c r="F197" s="15">
        <f>(F190+F191+F192+F193+F195)*0.2127</f>
        <v>765.11710185000004</v>
      </c>
    </row>
    <row r="198" spans="1:6" x14ac:dyDescent="0.3">
      <c r="A198" s="12" t="s">
        <v>3</v>
      </c>
      <c r="B198" s="12" t="s">
        <v>48</v>
      </c>
      <c r="C198" s="12" t="s">
        <v>3</v>
      </c>
      <c r="D198" s="12" t="s">
        <v>3</v>
      </c>
      <c r="E198" s="12" t="s">
        <v>3</v>
      </c>
      <c r="F198" s="14">
        <f>F196+F197</f>
        <v>4362.28260185</v>
      </c>
    </row>
    <row r="199" spans="1:6" x14ac:dyDescent="0.3">
      <c r="A199" s="16" t="s">
        <v>3</v>
      </c>
      <c r="B199" s="16" t="s">
        <v>49</v>
      </c>
      <c r="C199" s="16" t="s">
        <v>3</v>
      </c>
      <c r="D199" s="16" t="s">
        <v>3</v>
      </c>
      <c r="E199" s="16" t="s">
        <v>3</v>
      </c>
      <c r="F199" s="15">
        <f>(F190+F191+F192+F193+F195+F197)*0.15</f>
        <v>654.34239027749993</v>
      </c>
    </row>
    <row r="200" spans="1:6" x14ac:dyDescent="0.3">
      <c r="A200" s="12" t="s">
        <v>3</v>
      </c>
      <c r="B200" s="12" t="s">
        <v>48</v>
      </c>
      <c r="C200" s="12" t="s">
        <v>3</v>
      </c>
      <c r="D200" s="12" t="s">
        <v>3</v>
      </c>
      <c r="E200" s="12" t="s">
        <v>3</v>
      </c>
      <c r="F200" s="14">
        <f>F198+F199</f>
        <v>5016.6249921275003</v>
      </c>
    </row>
    <row r="201" spans="1:6" x14ac:dyDescent="0.3">
      <c r="A201" s="16" t="s">
        <v>3</v>
      </c>
      <c r="B201" s="16" t="s">
        <v>47</v>
      </c>
      <c r="C201" s="16" t="s">
        <v>3</v>
      </c>
      <c r="D201" s="16" t="s">
        <v>3</v>
      </c>
      <c r="E201" s="16" t="s">
        <v>3</v>
      </c>
      <c r="F201" s="15">
        <f>(F190+F191+F192+F193+F195+F197+F199)*0.01</f>
        <v>50.166249921275003</v>
      </c>
    </row>
    <row r="202" spans="1:6" x14ac:dyDescent="0.3">
      <c r="A202" s="12" t="s">
        <v>3</v>
      </c>
      <c r="B202" s="12" t="s">
        <v>92</v>
      </c>
      <c r="C202" s="12" t="s">
        <v>3</v>
      </c>
      <c r="D202" s="12" t="s">
        <v>3</v>
      </c>
      <c r="E202" s="12" t="s">
        <v>3</v>
      </c>
      <c r="F202" s="14">
        <f>F200+F201</f>
        <v>5066.7912420487755</v>
      </c>
    </row>
    <row r="203" spans="1:6" ht="15.6" x14ac:dyDescent="0.3">
      <c r="A203" s="12" t="s">
        <v>3</v>
      </c>
      <c r="B203" s="12" t="s">
        <v>91</v>
      </c>
      <c r="C203" s="12" t="s">
        <v>3</v>
      </c>
      <c r="D203" s="12" t="s">
        <v>3</v>
      </c>
      <c r="E203" s="12" t="s">
        <v>3</v>
      </c>
      <c r="F203" s="13">
        <f>F202/10</f>
        <v>506.67912420487755</v>
      </c>
    </row>
    <row r="204" spans="1:6" ht="15.6" x14ac:dyDescent="0.3">
      <c r="A204" s="12" t="s">
        <v>3</v>
      </c>
      <c r="B204" s="12" t="s">
        <v>3</v>
      </c>
      <c r="C204" s="12" t="s">
        <v>3</v>
      </c>
      <c r="D204" s="12" t="s">
        <v>3</v>
      </c>
      <c r="E204" s="11" t="s">
        <v>44</v>
      </c>
      <c r="F204" s="10">
        <f>MROUND(F203, 0.05)</f>
        <v>506.70000000000005</v>
      </c>
    </row>
    <row r="207" spans="1:6" x14ac:dyDescent="0.3">
      <c r="A207" s="12" t="s">
        <v>62</v>
      </c>
      <c r="B207" s="12" t="s">
        <v>28</v>
      </c>
    </row>
    <row r="208" spans="1:6" ht="48" customHeight="1" x14ac:dyDescent="0.3">
      <c r="A208" s="12" t="s">
        <v>61</v>
      </c>
      <c r="B208" s="22" t="s">
        <v>29</v>
      </c>
      <c r="C208" s="22"/>
      <c r="D208" s="22"/>
      <c r="E208" s="22"/>
      <c r="F208" s="22"/>
    </row>
    <row r="209" spans="1:6" x14ac:dyDescent="0.3">
      <c r="A209" s="12" t="s">
        <v>60</v>
      </c>
      <c r="B209" s="12" t="s">
        <v>200</v>
      </c>
    </row>
    <row r="210" spans="1:6" x14ac:dyDescent="0.3">
      <c r="A210" s="21" t="s">
        <v>7</v>
      </c>
      <c r="B210" s="21" t="s">
        <v>56</v>
      </c>
      <c r="C210" s="21" t="s">
        <v>9</v>
      </c>
      <c r="D210" s="21" t="s">
        <v>10</v>
      </c>
      <c r="E210" s="21" t="s">
        <v>58</v>
      </c>
      <c r="F210" s="21" t="s">
        <v>57</v>
      </c>
    </row>
    <row r="211" spans="1:6" ht="16.05" customHeight="1" x14ac:dyDescent="0.3">
      <c r="A211" s="19" t="s">
        <v>3</v>
      </c>
      <c r="B211" s="20" t="s">
        <v>56</v>
      </c>
      <c r="C211" s="19" t="s">
        <v>3</v>
      </c>
      <c r="D211" s="19" t="s">
        <v>3</v>
      </c>
      <c r="E211" s="19" t="s">
        <v>3</v>
      </c>
      <c r="F211" s="19" t="s">
        <v>3</v>
      </c>
    </row>
    <row r="212" spans="1:6" ht="16.05" customHeight="1" x14ac:dyDescent="0.3">
      <c r="A212" s="19" t="s">
        <v>3</v>
      </c>
      <c r="B212" s="20" t="s">
        <v>199</v>
      </c>
      <c r="C212" s="19" t="s">
        <v>3</v>
      </c>
      <c r="D212" s="19" t="s">
        <v>3</v>
      </c>
      <c r="E212" s="19" t="s">
        <v>3</v>
      </c>
      <c r="F212" s="19" t="s">
        <v>3</v>
      </c>
    </row>
    <row r="213" spans="1:6" ht="16.05" customHeight="1" x14ac:dyDescent="0.3">
      <c r="A213" s="19" t="s">
        <v>3</v>
      </c>
      <c r="B213" s="20" t="s">
        <v>89</v>
      </c>
      <c r="C213" s="19" t="s">
        <v>3</v>
      </c>
      <c r="D213" s="19" t="s">
        <v>3</v>
      </c>
      <c r="E213" s="19" t="s">
        <v>3</v>
      </c>
      <c r="F213" s="19" t="s">
        <v>3</v>
      </c>
    </row>
    <row r="214" spans="1:6" ht="16.05" customHeight="1" x14ac:dyDescent="0.3">
      <c r="A214" s="16" t="s">
        <v>198</v>
      </c>
      <c r="B214" s="18" t="s">
        <v>197</v>
      </c>
      <c r="C214" s="16" t="s">
        <v>170</v>
      </c>
      <c r="D214" s="17">
        <v>0.1</v>
      </c>
      <c r="E214" s="15">
        <v>5200</v>
      </c>
      <c r="F214" s="15">
        <f>D214*E214</f>
        <v>520</v>
      </c>
    </row>
    <row r="215" spans="1:6" ht="16.05" customHeight="1" x14ac:dyDescent="0.3">
      <c r="A215" s="16" t="s">
        <v>133</v>
      </c>
      <c r="B215" s="18" t="s">
        <v>132</v>
      </c>
      <c r="C215" s="16" t="s">
        <v>131</v>
      </c>
      <c r="D215" s="17">
        <v>0.01</v>
      </c>
      <c r="E215" s="15">
        <v>0</v>
      </c>
      <c r="F215" s="15">
        <f>D215*E215</f>
        <v>0</v>
      </c>
    </row>
    <row r="216" spans="1:6" ht="16.05" customHeight="1" x14ac:dyDescent="0.3">
      <c r="A216" s="19" t="s">
        <v>3</v>
      </c>
      <c r="B216" s="20" t="s">
        <v>75</v>
      </c>
      <c r="C216" s="19" t="s">
        <v>3</v>
      </c>
      <c r="D216" s="19" t="s">
        <v>3</v>
      </c>
      <c r="E216" s="19" t="s">
        <v>3</v>
      </c>
      <c r="F216" s="19" t="s">
        <v>3</v>
      </c>
    </row>
    <row r="217" spans="1:6" ht="16.05" customHeight="1" x14ac:dyDescent="0.3">
      <c r="A217" s="16" t="s">
        <v>156</v>
      </c>
      <c r="B217" s="18" t="s">
        <v>155</v>
      </c>
      <c r="C217" s="16" t="s">
        <v>68</v>
      </c>
      <c r="D217" s="17">
        <v>0.38</v>
      </c>
      <c r="E217" s="15">
        <v>816</v>
      </c>
      <c r="F217" s="15">
        <f>D217*E217</f>
        <v>310.08</v>
      </c>
    </row>
    <row r="218" spans="1:6" ht="16.05" customHeight="1" x14ac:dyDescent="0.3">
      <c r="A218" s="16" t="s">
        <v>74</v>
      </c>
      <c r="B218" s="18" t="s">
        <v>73</v>
      </c>
      <c r="C218" s="16" t="s">
        <v>68</v>
      </c>
      <c r="D218" s="17">
        <v>0.38</v>
      </c>
      <c r="E218" s="15">
        <v>736</v>
      </c>
      <c r="F218" s="15">
        <f>D218*E218</f>
        <v>279.68</v>
      </c>
    </row>
    <row r="219" spans="1:6" ht="16.05" customHeight="1" x14ac:dyDescent="0.3">
      <c r="A219" s="16" t="s">
        <v>67</v>
      </c>
      <c r="B219" s="18" t="s">
        <v>79</v>
      </c>
      <c r="C219" s="16" t="s">
        <v>65</v>
      </c>
      <c r="D219" s="17">
        <v>4.55</v>
      </c>
      <c r="E219" s="15">
        <v>2.27</v>
      </c>
      <c r="F219" s="15">
        <f>D219*E219</f>
        <v>10.3285</v>
      </c>
    </row>
    <row r="220" spans="1:6" x14ac:dyDescent="0.3">
      <c r="A220" s="12" t="s">
        <v>3</v>
      </c>
      <c r="B220" s="12" t="s">
        <v>48</v>
      </c>
      <c r="C220" s="12" t="s">
        <v>3</v>
      </c>
      <c r="D220" s="12" t="s">
        <v>3</v>
      </c>
      <c r="E220" s="12" t="s">
        <v>3</v>
      </c>
      <c r="F220" s="14">
        <f>(F214+F215+F217+F218+F219+0)</f>
        <v>1120.0885000000001</v>
      </c>
    </row>
    <row r="221" spans="1:6" x14ac:dyDescent="0.3">
      <c r="A221" s="16" t="s">
        <v>3</v>
      </c>
      <c r="B221" s="16" t="s">
        <v>51</v>
      </c>
      <c r="C221" s="16" t="s">
        <v>3</v>
      </c>
      <c r="D221" s="16" t="s">
        <v>3</v>
      </c>
      <c r="E221" s="16" t="s">
        <v>3</v>
      </c>
      <c r="F221" s="15">
        <f>(F214+F215+F217+F218+F219)*0.01</f>
        <v>11.200885000000001</v>
      </c>
    </row>
    <row r="222" spans="1:6" x14ac:dyDescent="0.3">
      <c r="A222" s="12" t="s">
        <v>3</v>
      </c>
      <c r="B222" s="12" t="s">
        <v>48</v>
      </c>
      <c r="C222" s="12" t="s">
        <v>3</v>
      </c>
      <c r="D222" s="12" t="s">
        <v>3</v>
      </c>
      <c r="E222" s="12" t="s">
        <v>3</v>
      </c>
      <c r="F222" s="14">
        <f>F220+F221</f>
        <v>1131.289385</v>
      </c>
    </row>
    <row r="223" spans="1:6" x14ac:dyDescent="0.3">
      <c r="A223" s="16" t="s">
        <v>3</v>
      </c>
      <c r="B223" s="16" t="s">
        <v>50</v>
      </c>
      <c r="C223" s="16" t="s">
        <v>3</v>
      </c>
      <c r="D223" s="16" t="s">
        <v>3</v>
      </c>
      <c r="E223" s="16" t="s">
        <v>3</v>
      </c>
      <c r="F223" s="15">
        <f>(F214+F215+F217+F218+F219+F221)*0.2127</f>
        <v>240.6252521895</v>
      </c>
    </row>
    <row r="224" spans="1:6" x14ac:dyDescent="0.3">
      <c r="A224" s="12" t="s">
        <v>3</v>
      </c>
      <c r="B224" s="12" t="s">
        <v>48</v>
      </c>
      <c r="C224" s="12" t="s">
        <v>3</v>
      </c>
      <c r="D224" s="12" t="s">
        <v>3</v>
      </c>
      <c r="E224" s="12" t="s">
        <v>3</v>
      </c>
      <c r="F224" s="14">
        <f>F222+F223</f>
        <v>1371.9146371895001</v>
      </c>
    </row>
    <row r="225" spans="1:6" x14ac:dyDescent="0.3">
      <c r="A225" s="16" t="s">
        <v>3</v>
      </c>
      <c r="B225" s="16" t="s">
        <v>49</v>
      </c>
      <c r="C225" s="16" t="s">
        <v>3</v>
      </c>
      <c r="D225" s="16" t="s">
        <v>3</v>
      </c>
      <c r="E225" s="16" t="s">
        <v>3</v>
      </c>
      <c r="F225" s="15">
        <f>(F214+F215+F217+F218+F219+F221+F223)*0.15</f>
        <v>205.78719557842501</v>
      </c>
    </row>
    <row r="226" spans="1:6" x14ac:dyDescent="0.3">
      <c r="A226" s="12" t="s">
        <v>3</v>
      </c>
      <c r="B226" s="12" t="s">
        <v>48</v>
      </c>
      <c r="C226" s="12" t="s">
        <v>3</v>
      </c>
      <c r="D226" s="12" t="s">
        <v>3</v>
      </c>
      <c r="E226" s="12" t="s">
        <v>3</v>
      </c>
      <c r="F226" s="14">
        <f>F224+F225</f>
        <v>1577.7018327679252</v>
      </c>
    </row>
    <row r="227" spans="1:6" x14ac:dyDescent="0.3">
      <c r="A227" s="16" t="s">
        <v>3</v>
      </c>
      <c r="B227" s="16" t="s">
        <v>47</v>
      </c>
      <c r="C227" s="16" t="s">
        <v>3</v>
      </c>
      <c r="D227" s="16" t="s">
        <v>3</v>
      </c>
      <c r="E227" s="16" t="s">
        <v>3</v>
      </c>
      <c r="F227" s="15">
        <f>(F214+F215+F217+F218+F219+F221+F223+F225)*0.01</f>
        <v>15.777018327679253</v>
      </c>
    </row>
    <row r="228" spans="1:6" x14ac:dyDescent="0.3">
      <c r="A228" s="12" t="s">
        <v>3</v>
      </c>
      <c r="B228" s="12" t="s">
        <v>196</v>
      </c>
      <c r="C228" s="12" t="s">
        <v>3</v>
      </c>
      <c r="D228" s="12" t="s">
        <v>3</v>
      </c>
      <c r="E228" s="12" t="s">
        <v>3</v>
      </c>
      <c r="F228" s="14">
        <f>F226+F227</f>
        <v>1593.4788510956046</v>
      </c>
    </row>
    <row r="229" spans="1:6" ht="15.6" x14ac:dyDescent="0.3">
      <c r="A229" s="12" t="s">
        <v>3</v>
      </c>
      <c r="B229" s="12" t="s">
        <v>195</v>
      </c>
      <c r="C229" s="12" t="s">
        <v>3</v>
      </c>
      <c r="D229" s="12" t="s">
        <v>3</v>
      </c>
      <c r="E229" s="12" t="s">
        <v>3</v>
      </c>
      <c r="F229" s="13">
        <f>F228/0.1</f>
        <v>15934.788510956045</v>
      </c>
    </row>
    <row r="230" spans="1:6" ht="15.6" x14ac:dyDescent="0.3">
      <c r="A230" s="12" t="s">
        <v>3</v>
      </c>
      <c r="B230" s="12" t="s">
        <v>3</v>
      </c>
      <c r="C230" s="12" t="s">
        <v>3</v>
      </c>
      <c r="D230" s="12" t="s">
        <v>3</v>
      </c>
      <c r="E230" s="11" t="s">
        <v>44</v>
      </c>
      <c r="F230" s="10">
        <f>MROUND(F229, 0.05)</f>
        <v>15934.800000000001</v>
      </c>
    </row>
    <row r="233" spans="1:6" x14ac:dyDescent="0.3">
      <c r="A233" s="12" t="s">
        <v>62</v>
      </c>
      <c r="B233" s="12" t="s">
        <v>30</v>
      </c>
    </row>
    <row r="234" spans="1:6" ht="48" customHeight="1" x14ac:dyDescent="0.3">
      <c r="A234" s="12" t="s">
        <v>61</v>
      </c>
      <c r="B234" s="22" t="s">
        <v>31</v>
      </c>
      <c r="C234" s="22"/>
      <c r="D234" s="22"/>
      <c r="E234" s="22"/>
      <c r="F234" s="22"/>
    </row>
    <row r="235" spans="1:6" x14ac:dyDescent="0.3">
      <c r="A235" s="12" t="s">
        <v>60</v>
      </c>
      <c r="B235" s="12" t="s">
        <v>194</v>
      </c>
    </row>
    <row r="236" spans="1:6" x14ac:dyDescent="0.3">
      <c r="A236" s="21" t="s">
        <v>7</v>
      </c>
      <c r="B236" s="21" t="s">
        <v>56</v>
      </c>
      <c r="C236" s="21" t="s">
        <v>9</v>
      </c>
      <c r="D236" s="21" t="s">
        <v>10</v>
      </c>
      <c r="E236" s="21" t="s">
        <v>58</v>
      </c>
      <c r="F236" s="21" t="s">
        <v>57</v>
      </c>
    </row>
    <row r="237" spans="1:6" ht="16.05" customHeight="1" x14ac:dyDescent="0.3">
      <c r="A237" s="19" t="s">
        <v>3</v>
      </c>
      <c r="B237" s="20" t="s">
        <v>56</v>
      </c>
      <c r="C237" s="19" t="s">
        <v>3</v>
      </c>
      <c r="D237" s="19" t="s">
        <v>3</v>
      </c>
      <c r="E237" s="19" t="s">
        <v>3</v>
      </c>
      <c r="F237" s="19" t="s">
        <v>3</v>
      </c>
    </row>
    <row r="238" spans="1:6" ht="16.05" customHeight="1" x14ac:dyDescent="0.3">
      <c r="A238" s="19" t="s">
        <v>3</v>
      </c>
      <c r="B238" s="20" t="s">
        <v>193</v>
      </c>
      <c r="C238" s="19" t="s">
        <v>3</v>
      </c>
      <c r="D238" s="19" t="s">
        <v>3</v>
      </c>
      <c r="E238" s="19" t="s">
        <v>3</v>
      </c>
      <c r="F238" s="19" t="s">
        <v>3</v>
      </c>
    </row>
    <row r="239" spans="1:6" ht="16.05" customHeight="1" x14ac:dyDescent="0.3">
      <c r="A239" s="19" t="s">
        <v>3</v>
      </c>
      <c r="B239" s="20" t="s">
        <v>89</v>
      </c>
      <c r="C239" s="19" t="s">
        <v>3</v>
      </c>
      <c r="D239" s="19" t="s">
        <v>3</v>
      </c>
      <c r="E239" s="19" t="s">
        <v>3</v>
      </c>
      <c r="F239" s="19" t="s">
        <v>3</v>
      </c>
    </row>
    <row r="240" spans="1:6" ht="16.05" customHeight="1" x14ac:dyDescent="0.3">
      <c r="A240" s="19" t="s">
        <v>3</v>
      </c>
      <c r="B240" s="20" t="s">
        <v>192</v>
      </c>
      <c r="C240" s="19" t="s">
        <v>3</v>
      </c>
      <c r="D240" s="19" t="s">
        <v>3</v>
      </c>
      <c r="E240" s="19" t="s">
        <v>3</v>
      </c>
      <c r="F240" s="19" t="s">
        <v>3</v>
      </c>
    </row>
    <row r="241" spans="1:6" ht="16.05" customHeight="1" x14ac:dyDescent="0.3">
      <c r="A241" s="19" t="s">
        <v>3</v>
      </c>
      <c r="B241" s="20" t="s">
        <v>191</v>
      </c>
      <c r="C241" s="19" t="s">
        <v>3</v>
      </c>
      <c r="D241" s="19" t="s">
        <v>3</v>
      </c>
      <c r="E241" s="19" t="s">
        <v>3</v>
      </c>
      <c r="F241" s="19" t="s">
        <v>3</v>
      </c>
    </row>
    <row r="242" spans="1:6" ht="16.05" customHeight="1" x14ac:dyDescent="0.3">
      <c r="A242" s="19" t="s">
        <v>3</v>
      </c>
      <c r="B242" s="20" t="s">
        <v>190</v>
      </c>
      <c r="C242" s="19" t="s">
        <v>3</v>
      </c>
      <c r="D242" s="19" t="s">
        <v>3</v>
      </c>
      <c r="E242" s="19" t="s">
        <v>3</v>
      </c>
      <c r="F242" s="19" t="s">
        <v>3</v>
      </c>
    </row>
    <row r="243" spans="1:6" ht="16.05" customHeight="1" x14ac:dyDescent="0.3">
      <c r="A243" s="19" t="s">
        <v>3</v>
      </c>
      <c r="B243" s="20" t="s">
        <v>189</v>
      </c>
      <c r="C243" s="19" t="s">
        <v>3</v>
      </c>
      <c r="D243" s="19" t="s">
        <v>3</v>
      </c>
      <c r="E243" s="19" t="s">
        <v>3</v>
      </c>
      <c r="F243" s="19" t="s">
        <v>3</v>
      </c>
    </row>
    <row r="244" spans="1:6" ht="16.05" customHeight="1" x14ac:dyDescent="0.3">
      <c r="A244" s="19" t="s">
        <v>3</v>
      </c>
      <c r="B244" s="20" t="s">
        <v>188</v>
      </c>
      <c r="C244" s="19" t="s">
        <v>3</v>
      </c>
      <c r="D244" s="19" t="s">
        <v>3</v>
      </c>
      <c r="E244" s="19" t="s">
        <v>3</v>
      </c>
      <c r="F244" s="19" t="s">
        <v>3</v>
      </c>
    </row>
    <row r="245" spans="1:6" ht="16.05" customHeight="1" x14ac:dyDescent="0.3">
      <c r="A245" s="19" t="s">
        <v>3</v>
      </c>
      <c r="B245" s="20" t="s">
        <v>187</v>
      </c>
      <c r="C245" s="19" t="s">
        <v>3</v>
      </c>
      <c r="D245" s="19" t="s">
        <v>3</v>
      </c>
      <c r="E245" s="19" t="s">
        <v>3</v>
      </c>
      <c r="F245" s="19" t="s">
        <v>3</v>
      </c>
    </row>
    <row r="246" spans="1:6" ht="16.05" customHeight="1" x14ac:dyDescent="0.3">
      <c r="A246" s="16" t="s">
        <v>179</v>
      </c>
      <c r="B246" s="18" t="s">
        <v>178</v>
      </c>
      <c r="C246" s="16" t="s">
        <v>170</v>
      </c>
      <c r="D246" s="17">
        <v>0.53</v>
      </c>
      <c r="E246" s="15">
        <v>5965</v>
      </c>
      <c r="F246" s="15">
        <f>D246*E246</f>
        <v>3161.4500000000003</v>
      </c>
    </row>
    <row r="247" spans="1:6" ht="16.05" customHeight="1" x14ac:dyDescent="0.3">
      <c r="A247" s="19" t="s">
        <v>3</v>
      </c>
      <c r="B247" s="20" t="s">
        <v>186</v>
      </c>
      <c r="C247" s="19" t="s">
        <v>3</v>
      </c>
      <c r="D247" s="19" t="s">
        <v>3</v>
      </c>
      <c r="E247" s="19" t="s">
        <v>3</v>
      </c>
      <c r="F247" s="19" t="s">
        <v>3</v>
      </c>
    </row>
    <row r="248" spans="1:6" ht="16.05" customHeight="1" x14ac:dyDescent="0.3">
      <c r="A248" s="19" t="s">
        <v>3</v>
      </c>
      <c r="B248" s="20" t="s">
        <v>185</v>
      </c>
      <c r="C248" s="19" t="s">
        <v>3</v>
      </c>
      <c r="D248" s="19" t="s">
        <v>3</v>
      </c>
      <c r="E248" s="19" t="s">
        <v>3</v>
      </c>
      <c r="F248" s="19" t="s">
        <v>3</v>
      </c>
    </row>
    <row r="249" spans="1:6" ht="16.05" customHeight="1" x14ac:dyDescent="0.3">
      <c r="A249" s="19" t="s">
        <v>3</v>
      </c>
      <c r="B249" s="20" t="s">
        <v>184</v>
      </c>
      <c r="C249" s="19" t="s">
        <v>3</v>
      </c>
      <c r="D249" s="19" t="s">
        <v>3</v>
      </c>
      <c r="E249" s="19" t="s">
        <v>3</v>
      </c>
      <c r="F249" s="19" t="s">
        <v>3</v>
      </c>
    </row>
    <row r="250" spans="1:6" ht="16.05" customHeight="1" x14ac:dyDescent="0.3">
      <c r="A250" s="19" t="s">
        <v>3</v>
      </c>
      <c r="B250" s="20" t="s">
        <v>183</v>
      </c>
      <c r="C250" s="19" t="s">
        <v>3</v>
      </c>
      <c r="D250" s="19" t="s">
        <v>3</v>
      </c>
      <c r="E250" s="19" t="s">
        <v>3</v>
      </c>
      <c r="F250" s="19" t="s">
        <v>3</v>
      </c>
    </row>
    <row r="251" spans="1:6" ht="16.05" customHeight="1" x14ac:dyDescent="0.3">
      <c r="A251" s="19" t="s">
        <v>3</v>
      </c>
      <c r="B251" s="20" t="s">
        <v>182</v>
      </c>
      <c r="C251" s="19" t="s">
        <v>3</v>
      </c>
      <c r="D251" s="19" t="s">
        <v>3</v>
      </c>
      <c r="E251" s="19" t="s">
        <v>3</v>
      </c>
      <c r="F251" s="19" t="s">
        <v>3</v>
      </c>
    </row>
    <row r="252" spans="1:6" ht="16.05" customHeight="1" x14ac:dyDescent="0.3">
      <c r="A252" s="19" t="s">
        <v>3</v>
      </c>
      <c r="B252" s="20" t="s">
        <v>181</v>
      </c>
      <c r="C252" s="19" t="s">
        <v>3</v>
      </c>
      <c r="D252" s="19" t="s">
        <v>3</v>
      </c>
      <c r="E252" s="19" t="s">
        <v>3</v>
      </c>
      <c r="F252" s="19" t="s">
        <v>3</v>
      </c>
    </row>
    <row r="253" spans="1:6" ht="16.05" customHeight="1" x14ac:dyDescent="0.3">
      <c r="A253" s="19" t="s">
        <v>3</v>
      </c>
      <c r="B253" s="20" t="s">
        <v>180</v>
      </c>
      <c r="C253" s="19" t="s">
        <v>3</v>
      </c>
      <c r="D253" s="19" t="s">
        <v>3</v>
      </c>
      <c r="E253" s="19" t="s">
        <v>3</v>
      </c>
      <c r="F253" s="19" t="s">
        <v>3</v>
      </c>
    </row>
    <row r="254" spans="1:6" ht="16.05" customHeight="1" x14ac:dyDescent="0.3">
      <c r="A254" s="16" t="s">
        <v>179</v>
      </c>
      <c r="B254" s="18" t="s">
        <v>178</v>
      </c>
      <c r="C254" s="16" t="s">
        <v>170</v>
      </c>
      <c r="D254" s="17">
        <v>0.13</v>
      </c>
      <c r="E254" s="15">
        <v>5965</v>
      </c>
      <c r="F254" s="15">
        <f>D254*E254</f>
        <v>775.45</v>
      </c>
    </row>
    <row r="255" spans="1:6" ht="16.05" customHeight="1" x14ac:dyDescent="0.3">
      <c r="A255" s="19" t="s">
        <v>3</v>
      </c>
      <c r="B255" s="20" t="s">
        <v>177</v>
      </c>
      <c r="C255" s="19" t="s">
        <v>3</v>
      </c>
      <c r="D255" s="19" t="s">
        <v>3</v>
      </c>
      <c r="E255" s="19" t="s">
        <v>3</v>
      </c>
      <c r="F255" s="19" t="s">
        <v>3</v>
      </c>
    </row>
    <row r="256" spans="1:6" ht="16.05" customHeight="1" x14ac:dyDescent="0.3">
      <c r="A256" s="19" t="s">
        <v>3</v>
      </c>
      <c r="B256" s="20" t="s">
        <v>176</v>
      </c>
      <c r="C256" s="19" t="s">
        <v>3</v>
      </c>
      <c r="D256" s="19" t="s">
        <v>3</v>
      </c>
      <c r="E256" s="19" t="s">
        <v>3</v>
      </c>
      <c r="F256" s="19" t="s">
        <v>3</v>
      </c>
    </row>
    <row r="257" spans="1:6" ht="16.05" customHeight="1" x14ac:dyDescent="0.3">
      <c r="A257" s="19" t="s">
        <v>3</v>
      </c>
      <c r="B257" s="20" t="s">
        <v>175</v>
      </c>
      <c r="C257" s="19" t="s">
        <v>3</v>
      </c>
      <c r="D257" s="19" t="s">
        <v>3</v>
      </c>
      <c r="E257" s="19" t="s">
        <v>3</v>
      </c>
      <c r="F257" s="19" t="s">
        <v>3</v>
      </c>
    </row>
    <row r="258" spans="1:6" ht="16.05" customHeight="1" x14ac:dyDescent="0.3">
      <c r="A258" s="19" t="s">
        <v>3</v>
      </c>
      <c r="B258" s="20" t="s">
        <v>174</v>
      </c>
      <c r="C258" s="19" t="s">
        <v>3</v>
      </c>
      <c r="D258" s="19" t="s">
        <v>3</v>
      </c>
      <c r="E258" s="19" t="s">
        <v>3</v>
      </c>
      <c r="F258" s="19" t="s">
        <v>3</v>
      </c>
    </row>
    <row r="259" spans="1:6" ht="16.05" customHeight="1" x14ac:dyDescent="0.3">
      <c r="A259" s="19" t="s">
        <v>3</v>
      </c>
      <c r="B259" s="20" t="s">
        <v>173</v>
      </c>
      <c r="C259" s="19" t="s">
        <v>3</v>
      </c>
      <c r="D259" s="19" t="s">
        <v>3</v>
      </c>
      <c r="E259" s="19" t="s">
        <v>3</v>
      </c>
      <c r="F259" s="19" t="s">
        <v>3</v>
      </c>
    </row>
    <row r="260" spans="1:6" ht="16.05" customHeight="1" x14ac:dyDescent="0.3">
      <c r="A260" s="16" t="s">
        <v>172</v>
      </c>
      <c r="B260" s="18" t="s">
        <v>171</v>
      </c>
      <c r="C260" s="16" t="s">
        <v>170</v>
      </c>
      <c r="D260" s="17">
        <v>0.6</v>
      </c>
      <c r="E260" s="15">
        <v>5450</v>
      </c>
      <c r="F260" s="15">
        <f>D260*E260</f>
        <v>3270</v>
      </c>
    </row>
    <row r="261" spans="1:6" ht="16.05" customHeight="1" x14ac:dyDescent="0.3">
      <c r="A261" s="16" t="s">
        <v>133</v>
      </c>
      <c r="B261" s="18" t="s">
        <v>132</v>
      </c>
      <c r="C261" s="16" t="s">
        <v>131</v>
      </c>
      <c r="D261" s="17">
        <v>0.126</v>
      </c>
      <c r="E261" s="15">
        <v>0</v>
      </c>
      <c r="F261" s="15">
        <f>D261*E261</f>
        <v>0</v>
      </c>
    </row>
    <row r="262" spans="1:6" ht="16.05" customHeight="1" x14ac:dyDescent="0.3">
      <c r="A262" s="19" t="s">
        <v>3</v>
      </c>
      <c r="B262" s="20" t="s">
        <v>169</v>
      </c>
      <c r="C262" s="19" t="s">
        <v>3</v>
      </c>
      <c r="D262" s="19" t="s">
        <v>3</v>
      </c>
      <c r="E262" s="19" t="s">
        <v>3</v>
      </c>
      <c r="F262" s="19" t="s">
        <v>3</v>
      </c>
    </row>
    <row r="263" spans="1:6" ht="16.05" customHeight="1" x14ac:dyDescent="0.3">
      <c r="A263" s="16" t="s">
        <v>67</v>
      </c>
      <c r="B263" s="18" t="s">
        <v>168</v>
      </c>
      <c r="C263" s="16" t="s">
        <v>65</v>
      </c>
      <c r="D263" s="17">
        <v>269.10000000000002</v>
      </c>
      <c r="E263" s="15">
        <v>2.27</v>
      </c>
      <c r="F263" s="15">
        <f>D263*E263</f>
        <v>610.85700000000008</v>
      </c>
    </row>
    <row r="264" spans="1:6" ht="16.05" customHeight="1" x14ac:dyDescent="0.3">
      <c r="A264" s="16" t="s">
        <v>67</v>
      </c>
      <c r="B264" s="18" t="s">
        <v>167</v>
      </c>
      <c r="C264" s="16" t="s">
        <v>65</v>
      </c>
      <c r="D264" s="17">
        <v>67.34</v>
      </c>
      <c r="E264" s="15">
        <v>2.27</v>
      </c>
      <c r="F264" s="15">
        <f>D264*E264</f>
        <v>152.86180000000002</v>
      </c>
    </row>
    <row r="265" spans="1:6" ht="16.05" customHeight="1" x14ac:dyDescent="0.3">
      <c r="A265" s="16" t="s">
        <v>166</v>
      </c>
      <c r="B265" s="18" t="s">
        <v>165</v>
      </c>
      <c r="C265" s="16" t="s">
        <v>164</v>
      </c>
      <c r="D265" s="17">
        <v>10</v>
      </c>
      <c r="E265" s="15">
        <v>40</v>
      </c>
      <c r="F265" s="15">
        <f>D265*E265</f>
        <v>400</v>
      </c>
    </row>
    <row r="266" spans="1:6" ht="16.05" customHeight="1" x14ac:dyDescent="0.3">
      <c r="A266" s="19" t="s">
        <v>3</v>
      </c>
      <c r="B266" s="20" t="s">
        <v>163</v>
      </c>
      <c r="C266" s="19" t="s">
        <v>3</v>
      </c>
      <c r="D266" s="19" t="s">
        <v>3</v>
      </c>
      <c r="E266" s="19" t="s">
        <v>3</v>
      </c>
      <c r="F266" s="19" t="s">
        <v>3</v>
      </c>
    </row>
    <row r="267" spans="1:6" ht="16.05" customHeight="1" x14ac:dyDescent="0.3">
      <c r="A267" s="19" t="s">
        <v>3</v>
      </c>
      <c r="B267" s="20" t="s">
        <v>162</v>
      </c>
      <c r="C267" s="19" t="s">
        <v>3</v>
      </c>
      <c r="D267" s="19" t="s">
        <v>3</v>
      </c>
      <c r="E267" s="19" t="s">
        <v>3</v>
      </c>
      <c r="F267" s="19" t="s">
        <v>3</v>
      </c>
    </row>
    <row r="268" spans="1:6" ht="16.05" customHeight="1" x14ac:dyDescent="0.3">
      <c r="A268" s="19" t="s">
        <v>3</v>
      </c>
      <c r="B268" s="20" t="s">
        <v>161</v>
      </c>
      <c r="C268" s="19" t="s">
        <v>3</v>
      </c>
      <c r="D268" s="19" t="s">
        <v>3</v>
      </c>
      <c r="E268" s="19" t="s">
        <v>3</v>
      </c>
      <c r="F268" s="19" t="s">
        <v>3</v>
      </c>
    </row>
    <row r="269" spans="1:6" ht="16.05" customHeight="1" x14ac:dyDescent="0.3">
      <c r="A269" s="19" t="s">
        <v>3</v>
      </c>
      <c r="B269" s="20" t="s">
        <v>160</v>
      </c>
      <c r="C269" s="19" t="s">
        <v>3</v>
      </c>
      <c r="D269" s="19" t="s">
        <v>3</v>
      </c>
      <c r="E269" s="19" t="s">
        <v>3</v>
      </c>
      <c r="F269" s="19" t="s">
        <v>3</v>
      </c>
    </row>
    <row r="270" spans="1:6" ht="16.05" customHeight="1" x14ac:dyDescent="0.3">
      <c r="A270" s="19" t="s">
        <v>3</v>
      </c>
      <c r="B270" s="20" t="s">
        <v>159</v>
      </c>
      <c r="C270" s="19" t="s">
        <v>3</v>
      </c>
      <c r="D270" s="19" t="s">
        <v>3</v>
      </c>
      <c r="E270" s="19" t="s">
        <v>3</v>
      </c>
      <c r="F270" s="19" t="s">
        <v>3</v>
      </c>
    </row>
    <row r="271" spans="1:6" ht="16.05" customHeight="1" x14ac:dyDescent="0.3">
      <c r="A271" s="16" t="s">
        <v>126</v>
      </c>
      <c r="B271" s="23" t="s">
        <v>125</v>
      </c>
      <c r="C271" s="16" t="s">
        <v>105</v>
      </c>
      <c r="D271" s="17">
        <v>10.5</v>
      </c>
      <c r="E271" s="15">
        <v>67.400000000000006</v>
      </c>
      <c r="F271" s="15">
        <f>D271*E271</f>
        <v>707.7</v>
      </c>
    </row>
    <row r="272" spans="1:6" ht="16.05" customHeight="1" x14ac:dyDescent="0.3">
      <c r="A272" s="19" t="s">
        <v>3</v>
      </c>
      <c r="B272" s="20" t="s">
        <v>75</v>
      </c>
      <c r="C272" s="19" t="s">
        <v>3</v>
      </c>
      <c r="D272" s="19" t="s">
        <v>3</v>
      </c>
      <c r="E272" s="19" t="s">
        <v>3</v>
      </c>
      <c r="F272" s="19" t="s">
        <v>3</v>
      </c>
    </row>
    <row r="273" spans="1:6" ht="16.05" customHeight="1" x14ac:dyDescent="0.3">
      <c r="A273" s="16" t="s">
        <v>158</v>
      </c>
      <c r="B273" s="18" t="s">
        <v>157</v>
      </c>
      <c r="C273" s="16" t="s">
        <v>68</v>
      </c>
      <c r="D273" s="17">
        <v>3</v>
      </c>
      <c r="E273" s="15">
        <v>897</v>
      </c>
      <c r="F273" s="15">
        <f>D273*E273</f>
        <v>2691</v>
      </c>
    </row>
    <row r="274" spans="1:6" ht="16.05" customHeight="1" x14ac:dyDescent="0.3">
      <c r="A274" s="16" t="s">
        <v>115</v>
      </c>
      <c r="B274" s="18" t="s">
        <v>114</v>
      </c>
      <c r="C274" s="16" t="s">
        <v>68</v>
      </c>
      <c r="D274" s="17">
        <v>6</v>
      </c>
      <c r="E274" s="15">
        <v>897</v>
      </c>
      <c r="F274" s="15">
        <f>D274*E274</f>
        <v>5382</v>
      </c>
    </row>
    <row r="275" spans="1:6" ht="16.05" customHeight="1" x14ac:dyDescent="0.3">
      <c r="A275" s="16" t="s">
        <v>156</v>
      </c>
      <c r="B275" s="18" t="s">
        <v>155</v>
      </c>
      <c r="C275" s="16" t="s">
        <v>68</v>
      </c>
      <c r="D275" s="17">
        <v>6</v>
      </c>
      <c r="E275" s="15">
        <v>816</v>
      </c>
      <c r="F275" s="15">
        <f>D275*E275</f>
        <v>4896</v>
      </c>
    </row>
    <row r="276" spans="1:6" ht="16.05" customHeight="1" x14ac:dyDescent="0.3">
      <c r="A276" s="16" t="s">
        <v>96</v>
      </c>
      <c r="B276" s="18" t="s">
        <v>95</v>
      </c>
      <c r="C276" s="16" t="s">
        <v>68</v>
      </c>
      <c r="D276" s="17">
        <v>0.5</v>
      </c>
      <c r="E276" s="15">
        <v>897</v>
      </c>
      <c r="F276" s="15">
        <f>D276*E276</f>
        <v>448.5</v>
      </c>
    </row>
    <row r="277" spans="1:6" ht="16.05" customHeight="1" x14ac:dyDescent="0.3">
      <c r="A277" s="16" t="s">
        <v>154</v>
      </c>
      <c r="B277" s="18" t="s">
        <v>153</v>
      </c>
      <c r="C277" s="16" t="s">
        <v>68</v>
      </c>
      <c r="D277" s="17">
        <v>0.5</v>
      </c>
      <c r="E277" s="15">
        <v>816</v>
      </c>
      <c r="F277" s="15">
        <f>D277*E277</f>
        <v>408</v>
      </c>
    </row>
    <row r="278" spans="1:6" ht="16.05" customHeight="1" x14ac:dyDescent="0.3">
      <c r="A278" s="16" t="s">
        <v>74</v>
      </c>
      <c r="B278" s="18" t="s">
        <v>73</v>
      </c>
      <c r="C278" s="16" t="s">
        <v>68</v>
      </c>
      <c r="D278" s="17">
        <v>8</v>
      </c>
      <c r="E278" s="15">
        <v>736</v>
      </c>
      <c r="F278" s="15">
        <f>D278*E278</f>
        <v>5888</v>
      </c>
    </row>
    <row r="279" spans="1:6" ht="16.05" customHeight="1" x14ac:dyDescent="0.3">
      <c r="A279" s="16" t="s">
        <v>67</v>
      </c>
      <c r="B279" s="18" t="s">
        <v>79</v>
      </c>
      <c r="C279" s="16" t="s">
        <v>65</v>
      </c>
      <c r="D279" s="17">
        <v>161.46</v>
      </c>
      <c r="E279" s="15">
        <v>2.27</v>
      </c>
      <c r="F279" s="15">
        <f>D279*E279</f>
        <v>366.51420000000002</v>
      </c>
    </row>
    <row r="280" spans="1:6" x14ac:dyDescent="0.3">
      <c r="A280" s="12" t="s">
        <v>3</v>
      </c>
      <c r="B280" s="12" t="s">
        <v>48</v>
      </c>
      <c r="C280" s="12" t="s">
        <v>3</v>
      </c>
      <c r="D280" s="12" t="s">
        <v>3</v>
      </c>
      <c r="E280" s="12" t="s">
        <v>3</v>
      </c>
      <c r="F280" s="14">
        <f>(F246+F254+F260+F261+F263+F264+F265+F273+F274+F275+F276+F277+F278+F279+F271)</f>
        <v>29158.333000000002</v>
      </c>
    </row>
    <row r="281" spans="1:6" x14ac:dyDescent="0.3">
      <c r="A281" s="16" t="s">
        <v>3</v>
      </c>
      <c r="B281" s="16" t="s">
        <v>51</v>
      </c>
      <c r="C281" s="16" t="s">
        <v>3</v>
      </c>
      <c r="D281" s="16" t="s">
        <v>3</v>
      </c>
      <c r="E281" s="16" t="s">
        <v>3</v>
      </c>
      <c r="F281" s="15">
        <f>(F246+F254+F260+F261+F263+F264+F265+F273+F274+F275+F276+F277+F278+F279)*0.01</f>
        <v>284.50633000000005</v>
      </c>
    </row>
    <row r="282" spans="1:6" x14ac:dyDescent="0.3">
      <c r="A282" s="12" t="s">
        <v>3</v>
      </c>
      <c r="B282" s="12" t="s">
        <v>48</v>
      </c>
      <c r="C282" s="12" t="s">
        <v>3</v>
      </c>
      <c r="D282" s="12" t="s">
        <v>3</v>
      </c>
      <c r="E282" s="12" t="s">
        <v>3</v>
      </c>
      <c r="F282" s="14">
        <f>F280+F281</f>
        <v>29442.839330000003</v>
      </c>
    </row>
    <row r="283" spans="1:6" x14ac:dyDescent="0.3">
      <c r="A283" s="16" t="s">
        <v>3</v>
      </c>
      <c r="B283" s="16" t="s">
        <v>50</v>
      </c>
      <c r="C283" s="16" t="s">
        <v>3</v>
      </c>
      <c r="D283" s="16" t="s">
        <v>3</v>
      </c>
      <c r="E283" s="16" t="s">
        <v>3</v>
      </c>
      <c r="F283" s="15">
        <f>(F246+F254+F260+F261+F263+F264+F265+F273+F274+F275+F276+F277+F278+F279+F281)*0.2127</f>
        <v>6111.964135491</v>
      </c>
    </row>
    <row r="284" spans="1:6" x14ac:dyDescent="0.3">
      <c r="A284" s="12" t="s">
        <v>3</v>
      </c>
      <c r="B284" s="12" t="s">
        <v>48</v>
      </c>
      <c r="C284" s="12" t="s">
        <v>3</v>
      </c>
      <c r="D284" s="12" t="s">
        <v>3</v>
      </c>
      <c r="E284" s="12" t="s">
        <v>3</v>
      </c>
      <c r="F284" s="14">
        <f>F282+F283</f>
        <v>35554.803465491001</v>
      </c>
    </row>
    <row r="285" spans="1:6" x14ac:dyDescent="0.3">
      <c r="A285" s="16" t="s">
        <v>3</v>
      </c>
      <c r="B285" s="16" t="s">
        <v>49</v>
      </c>
      <c r="C285" s="16" t="s">
        <v>3</v>
      </c>
      <c r="D285" s="16" t="s">
        <v>3</v>
      </c>
      <c r="E285" s="16" t="s">
        <v>3</v>
      </c>
      <c r="F285" s="15">
        <f>(F246+F254+F260+F261+F263+F264+F265+F273+F274+F275+F276+F277+F278+F279+F281+F283)*0.15</f>
        <v>5227.06551982365</v>
      </c>
    </row>
    <row r="286" spans="1:6" x14ac:dyDescent="0.3">
      <c r="A286" s="12" t="s">
        <v>3</v>
      </c>
      <c r="B286" s="12" t="s">
        <v>48</v>
      </c>
      <c r="C286" s="12" t="s">
        <v>3</v>
      </c>
      <c r="D286" s="12" t="s">
        <v>3</v>
      </c>
      <c r="E286" s="12" t="s">
        <v>3</v>
      </c>
      <c r="F286" s="14">
        <f>F284+F285</f>
        <v>40781.86898531465</v>
      </c>
    </row>
    <row r="287" spans="1:6" x14ac:dyDescent="0.3">
      <c r="A287" s="16" t="s">
        <v>3</v>
      </c>
      <c r="B287" s="16" t="s">
        <v>47</v>
      </c>
      <c r="C287" s="16" t="s">
        <v>3</v>
      </c>
      <c r="D287" s="16" t="s">
        <v>3</v>
      </c>
      <c r="E287" s="16" t="s">
        <v>3</v>
      </c>
      <c r="F287" s="15">
        <f>(F246+F254+F260+F261+F263+F264+F265+F273+F274+F275+F276+F277+F278+F279+F281+F283+F285)*0.01</f>
        <v>400.74168985314651</v>
      </c>
    </row>
    <row r="288" spans="1:6" x14ac:dyDescent="0.3">
      <c r="A288" s="12" t="s">
        <v>3</v>
      </c>
      <c r="B288" s="12" t="s">
        <v>152</v>
      </c>
      <c r="C288" s="12" t="s">
        <v>3</v>
      </c>
      <c r="D288" s="12" t="s">
        <v>3</v>
      </c>
      <c r="E288" s="12" t="s">
        <v>3</v>
      </c>
      <c r="F288" s="14">
        <f>F286+F287</f>
        <v>41182.610675167794</v>
      </c>
    </row>
    <row r="289" spans="1:6" ht="15.6" x14ac:dyDescent="0.3">
      <c r="A289" s="12" t="s">
        <v>3</v>
      </c>
      <c r="B289" s="12" t="s">
        <v>91</v>
      </c>
      <c r="C289" s="12" t="s">
        <v>3</v>
      </c>
      <c r="D289" s="12" t="s">
        <v>3</v>
      </c>
      <c r="E289" s="12" t="s">
        <v>3</v>
      </c>
      <c r="F289" s="13">
        <f>F288/3.6</f>
        <v>11439.614076435499</v>
      </c>
    </row>
    <row r="290" spans="1:6" ht="15.6" x14ac:dyDescent="0.3">
      <c r="A290" s="12" t="s">
        <v>3</v>
      </c>
      <c r="B290" s="12" t="s">
        <v>3</v>
      </c>
      <c r="C290" s="12" t="s">
        <v>3</v>
      </c>
      <c r="D290" s="12" t="s">
        <v>3</v>
      </c>
      <c r="E290" s="11" t="s">
        <v>44</v>
      </c>
      <c r="F290" s="10">
        <f>MROUND(F289, 0.05)</f>
        <v>11439.6</v>
      </c>
    </row>
    <row r="293" spans="1:6" x14ac:dyDescent="0.3">
      <c r="A293" s="12" t="s">
        <v>62</v>
      </c>
      <c r="B293" s="12" t="s">
        <v>32</v>
      </c>
    </row>
    <row r="294" spans="1:6" ht="48" customHeight="1" x14ac:dyDescent="0.3">
      <c r="A294" s="12" t="s">
        <v>61</v>
      </c>
      <c r="B294" s="22" t="s">
        <v>151</v>
      </c>
      <c r="C294" s="22"/>
      <c r="D294" s="22"/>
      <c r="E294" s="22"/>
      <c r="F294" s="22"/>
    </row>
    <row r="295" spans="1:6" x14ac:dyDescent="0.3">
      <c r="A295" s="12" t="s">
        <v>60</v>
      </c>
      <c r="B295" s="12" t="s">
        <v>81</v>
      </c>
    </row>
    <row r="296" spans="1:6" x14ac:dyDescent="0.3">
      <c r="A296" s="21" t="s">
        <v>7</v>
      </c>
      <c r="B296" s="21" t="s">
        <v>56</v>
      </c>
      <c r="C296" s="21" t="s">
        <v>9</v>
      </c>
      <c r="D296" s="21" t="s">
        <v>10</v>
      </c>
      <c r="E296" s="21" t="s">
        <v>58</v>
      </c>
      <c r="F296" s="21" t="s">
        <v>57</v>
      </c>
    </row>
    <row r="297" spans="1:6" ht="16.05" customHeight="1" x14ac:dyDescent="0.3">
      <c r="A297" s="19" t="s">
        <v>3</v>
      </c>
      <c r="B297" s="20" t="s">
        <v>56</v>
      </c>
      <c r="C297" s="19" t="s">
        <v>3</v>
      </c>
      <c r="D297" s="19" t="s">
        <v>3</v>
      </c>
      <c r="E297" s="19" t="s">
        <v>3</v>
      </c>
      <c r="F297" s="19" t="s">
        <v>3</v>
      </c>
    </row>
    <row r="298" spans="1:6" ht="16.05" customHeight="1" x14ac:dyDescent="0.3">
      <c r="A298" s="19" t="s">
        <v>3</v>
      </c>
      <c r="B298" s="20" t="s">
        <v>150</v>
      </c>
      <c r="C298" s="19" t="s">
        <v>3</v>
      </c>
      <c r="D298" s="19" t="s">
        <v>3</v>
      </c>
      <c r="E298" s="19" t="s">
        <v>3</v>
      </c>
      <c r="F298" s="19" t="s">
        <v>3</v>
      </c>
    </row>
    <row r="299" spans="1:6" ht="16.05" customHeight="1" x14ac:dyDescent="0.3">
      <c r="A299" s="19" t="s">
        <v>3</v>
      </c>
      <c r="B299" s="20" t="s">
        <v>149</v>
      </c>
      <c r="C299" s="19" t="s">
        <v>3</v>
      </c>
      <c r="D299" s="19" t="s">
        <v>3</v>
      </c>
      <c r="E299" s="19" t="s">
        <v>3</v>
      </c>
      <c r="F299" s="19" t="s">
        <v>3</v>
      </c>
    </row>
    <row r="300" spans="1:6" ht="16.05" customHeight="1" x14ac:dyDescent="0.3">
      <c r="A300" s="19" t="s">
        <v>3</v>
      </c>
      <c r="B300" s="20" t="s">
        <v>89</v>
      </c>
      <c r="C300" s="19" t="s">
        <v>3</v>
      </c>
      <c r="D300" s="19" t="s">
        <v>3</v>
      </c>
      <c r="E300" s="19" t="s">
        <v>3</v>
      </c>
      <c r="F300" s="19" t="s">
        <v>3</v>
      </c>
    </row>
    <row r="301" spans="1:6" ht="16.05" customHeight="1" x14ac:dyDescent="0.3">
      <c r="A301" s="19" t="s">
        <v>3</v>
      </c>
      <c r="B301" s="20" t="s">
        <v>148</v>
      </c>
      <c r="C301" s="19" t="s">
        <v>3</v>
      </c>
      <c r="D301" s="19" t="s">
        <v>3</v>
      </c>
      <c r="E301" s="19" t="s">
        <v>3</v>
      </c>
      <c r="F301" s="19" t="s">
        <v>3</v>
      </c>
    </row>
    <row r="302" spans="1:6" ht="16.05" customHeight="1" x14ac:dyDescent="0.3">
      <c r="A302" s="19" t="s">
        <v>3</v>
      </c>
      <c r="B302" s="20" t="s">
        <v>147</v>
      </c>
      <c r="C302" s="19" t="s">
        <v>3</v>
      </c>
      <c r="D302" s="19" t="s">
        <v>3</v>
      </c>
      <c r="E302" s="19" t="s">
        <v>3</v>
      </c>
      <c r="F302" s="19" t="s">
        <v>3</v>
      </c>
    </row>
    <row r="303" spans="1:6" ht="16.05" customHeight="1" x14ac:dyDescent="0.3">
      <c r="A303" s="19" t="s">
        <v>3</v>
      </c>
      <c r="B303" s="20" t="s">
        <v>146</v>
      </c>
      <c r="C303" s="19" t="s">
        <v>3</v>
      </c>
      <c r="D303" s="19" t="s">
        <v>3</v>
      </c>
      <c r="E303" s="19" t="s">
        <v>3</v>
      </c>
      <c r="F303" s="19" t="s">
        <v>3</v>
      </c>
    </row>
    <row r="304" spans="1:6" ht="16.05" customHeight="1" x14ac:dyDescent="0.3">
      <c r="A304" s="19" t="s">
        <v>3</v>
      </c>
      <c r="B304" s="20" t="s">
        <v>145</v>
      </c>
      <c r="C304" s="19" t="s">
        <v>3</v>
      </c>
      <c r="D304" s="19" t="s">
        <v>3</v>
      </c>
      <c r="E304" s="19" t="s">
        <v>3</v>
      </c>
      <c r="F304" s="19" t="s">
        <v>3</v>
      </c>
    </row>
    <row r="305" spans="1:6" ht="16.05" customHeight="1" x14ac:dyDescent="0.3">
      <c r="A305" s="19" t="s">
        <v>3</v>
      </c>
      <c r="B305" s="20" t="s">
        <v>144</v>
      </c>
      <c r="C305" s="19" t="s">
        <v>3</v>
      </c>
      <c r="D305" s="19" t="s">
        <v>3</v>
      </c>
      <c r="E305" s="19" t="s">
        <v>3</v>
      </c>
      <c r="F305" s="19" t="s">
        <v>3</v>
      </c>
    </row>
    <row r="306" spans="1:6" ht="16.05" customHeight="1" x14ac:dyDescent="0.3">
      <c r="A306" s="19" t="s">
        <v>3</v>
      </c>
      <c r="B306" s="20" t="s">
        <v>143</v>
      </c>
      <c r="C306" s="19" t="s">
        <v>3</v>
      </c>
      <c r="D306" s="19" t="s">
        <v>3</v>
      </c>
      <c r="E306" s="19" t="s">
        <v>3</v>
      </c>
      <c r="F306" s="19" t="s">
        <v>3</v>
      </c>
    </row>
    <row r="307" spans="1:6" ht="16.05" customHeight="1" x14ac:dyDescent="0.3">
      <c r="A307" s="19" t="s">
        <v>3</v>
      </c>
      <c r="B307" s="20" t="s">
        <v>142</v>
      </c>
      <c r="C307" s="19" t="s">
        <v>3</v>
      </c>
      <c r="D307" s="19" t="s">
        <v>3</v>
      </c>
      <c r="E307" s="19" t="s">
        <v>3</v>
      </c>
      <c r="F307" s="19" t="s">
        <v>3</v>
      </c>
    </row>
    <row r="308" spans="1:6" ht="16.05" customHeight="1" x14ac:dyDescent="0.3">
      <c r="A308" s="19" t="s">
        <v>3</v>
      </c>
      <c r="B308" s="20" t="s">
        <v>141</v>
      </c>
      <c r="C308" s="19" t="s">
        <v>3</v>
      </c>
      <c r="D308" s="19" t="s">
        <v>3</v>
      </c>
      <c r="E308" s="19" t="s">
        <v>3</v>
      </c>
      <c r="F308" s="19" t="s">
        <v>3</v>
      </c>
    </row>
    <row r="309" spans="1:6" ht="16.05" customHeight="1" x14ac:dyDescent="0.3">
      <c r="A309" s="19" t="s">
        <v>3</v>
      </c>
      <c r="B309" s="20" t="s">
        <v>140</v>
      </c>
      <c r="C309" s="19" t="s">
        <v>3</v>
      </c>
      <c r="D309" s="19" t="s">
        <v>3</v>
      </c>
      <c r="E309" s="19" t="s">
        <v>3</v>
      </c>
      <c r="F309" s="19" t="s">
        <v>3</v>
      </c>
    </row>
    <row r="310" spans="1:6" ht="16.05" customHeight="1" x14ac:dyDescent="0.3">
      <c r="A310" s="19" t="s">
        <v>3</v>
      </c>
      <c r="B310" s="20" t="s">
        <v>139</v>
      </c>
      <c r="C310" s="19" t="s">
        <v>3</v>
      </c>
      <c r="D310" s="19" t="s">
        <v>3</v>
      </c>
      <c r="E310" s="19" t="s">
        <v>3</v>
      </c>
      <c r="F310" s="19" t="s">
        <v>3</v>
      </c>
    </row>
    <row r="311" spans="1:6" ht="16.05" customHeight="1" x14ac:dyDescent="0.3">
      <c r="A311" s="19" t="s">
        <v>3</v>
      </c>
      <c r="B311" s="20" t="s">
        <v>138</v>
      </c>
      <c r="C311" s="19" t="s">
        <v>3</v>
      </c>
      <c r="D311" s="19" t="s">
        <v>3</v>
      </c>
      <c r="E311" s="19" t="s">
        <v>3</v>
      </c>
      <c r="F311" s="19" t="s">
        <v>3</v>
      </c>
    </row>
    <row r="312" spans="1:6" ht="16.05" customHeight="1" x14ac:dyDescent="0.3">
      <c r="A312" s="19" t="s">
        <v>3</v>
      </c>
      <c r="B312" s="20" t="s">
        <v>137</v>
      </c>
      <c r="C312" s="19" t="s">
        <v>3</v>
      </c>
      <c r="D312" s="19" t="s">
        <v>3</v>
      </c>
      <c r="E312" s="19" t="s">
        <v>3</v>
      </c>
      <c r="F312" s="19" t="s">
        <v>3</v>
      </c>
    </row>
    <row r="313" spans="1:6" ht="16.05" customHeight="1" x14ac:dyDescent="0.3">
      <c r="A313" s="16" t="s">
        <v>136</v>
      </c>
      <c r="B313" s="18" t="s">
        <v>135</v>
      </c>
      <c r="C313" s="16" t="s">
        <v>134</v>
      </c>
      <c r="D313" s="17">
        <v>125</v>
      </c>
      <c r="E313" s="15">
        <v>72</v>
      </c>
      <c r="F313" s="15">
        <f>D313*E313</f>
        <v>9000</v>
      </c>
    </row>
    <row r="314" spans="1:6" ht="16.05" customHeight="1" x14ac:dyDescent="0.3">
      <c r="A314" s="16" t="s">
        <v>133</v>
      </c>
      <c r="B314" s="18" t="s">
        <v>132</v>
      </c>
      <c r="C314" s="16" t="s">
        <v>131</v>
      </c>
      <c r="D314" s="17">
        <v>0.125</v>
      </c>
      <c r="E314" s="15">
        <v>0</v>
      </c>
      <c r="F314" s="15">
        <f>D314*E314</f>
        <v>0</v>
      </c>
    </row>
    <row r="315" spans="1:6" ht="16.05" customHeight="1" x14ac:dyDescent="0.3">
      <c r="A315" s="19" t="s">
        <v>3</v>
      </c>
      <c r="B315" s="20" t="s">
        <v>130</v>
      </c>
      <c r="C315" s="19" t="s">
        <v>3</v>
      </c>
      <c r="D315" s="19" t="s">
        <v>3</v>
      </c>
      <c r="E315" s="19" t="s">
        <v>3</v>
      </c>
      <c r="F315" s="19" t="s">
        <v>3</v>
      </c>
    </row>
    <row r="316" spans="1:6" ht="16.05" customHeight="1" x14ac:dyDescent="0.3">
      <c r="A316" s="19" t="s">
        <v>3</v>
      </c>
      <c r="B316" s="20" t="s">
        <v>129</v>
      </c>
      <c r="C316" s="19" t="s">
        <v>3</v>
      </c>
      <c r="D316" s="19" t="s">
        <v>3</v>
      </c>
      <c r="E316" s="19" t="s">
        <v>3</v>
      </c>
      <c r="F316" s="19" t="s">
        <v>3</v>
      </c>
    </row>
    <row r="317" spans="1:6" ht="16.05" customHeight="1" x14ac:dyDescent="0.3">
      <c r="A317" s="19" t="s">
        <v>3</v>
      </c>
      <c r="B317" s="20" t="s">
        <v>128</v>
      </c>
      <c r="C317" s="19" t="s">
        <v>3</v>
      </c>
      <c r="D317" s="19" t="s">
        <v>3</v>
      </c>
      <c r="E317" s="19" t="s">
        <v>3</v>
      </c>
      <c r="F317" s="19" t="s">
        <v>3</v>
      </c>
    </row>
    <row r="318" spans="1:6" ht="16.05" customHeight="1" x14ac:dyDescent="0.3">
      <c r="A318" s="19" t="s">
        <v>3</v>
      </c>
      <c r="B318" s="20" t="s">
        <v>127</v>
      </c>
      <c r="C318" s="19" t="s">
        <v>3</v>
      </c>
      <c r="D318" s="19" t="s">
        <v>3</v>
      </c>
      <c r="E318" s="19" t="s">
        <v>3</v>
      </c>
      <c r="F318" s="19" t="s">
        <v>3</v>
      </c>
    </row>
    <row r="319" spans="1:6" ht="16.05" customHeight="1" x14ac:dyDescent="0.3">
      <c r="A319" s="16" t="s">
        <v>126</v>
      </c>
      <c r="B319" s="23" t="s">
        <v>125</v>
      </c>
      <c r="C319" s="16" t="s">
        <v>105</v>
      </c>
      <c r="D319" s="17">
        <v>3.8</v>
      </c>
      <c r="E319" s="15">
        <v>67.400000000000006</v>
      </c>
      <c r="F319" s="15">
        <f>D319*E319</f>
        <v>256.12</v>
      </c>
    </row>
    <row r="320" spans="1:6" ht="16.05" customHeight="1" x14ac:dyDescent="0.3">
      <c r="A320" s="19" t="s">
        <v>3</v>
      </c>
      <c r="B320" s="20" t="s">
        <v>124</v>
      </c>
      <c r="C320" s="19" t="s">
        <v>3</v>
      </c>
      <c r="D320" s="19" t="s">
        <v>3</v>
      </c>
      <c r="E320" s="19" t="s">
        <v>3</v>
      </c>
      <c r="F320" s="19" t="s">
        <v>3</v>
      </c>
    </row>
    <row r="321" spans="1:6" ht="16.05" customHeight="1" x14ac:dyDescent="0.3">
      <c r="A321" s="19" t="s">
        <v>3</v>
      </c>
      <c r="B321" s="20" t="s">
        <v>123</v>
      </c>
      <c r="C321" s="19" t="s">
        <v>3</v>
      </c>
      <c r="D321" s="19" t="s">
        <v>3</v>
      </c>
      <c r="E321" s="19" t="s">
        <v>3</v>
      </c>
      <c r="F321" s="19" t="s">
        <v>3</v>
      </c>
    </row>
    <row r="322" spans="1:6" ht="16.05" customHeight="1" x14ac:dyDescent="0.3">
      <c r="A322" s="19" t="s">
        <v>3</v>
      </c>
      <c r="B322" s="20" t="s">
        <v>122</v>
      </c>
      <c r="C322" s="19" t="s">
        <v>3</v>
      </c>
      <c r="D322" s="19" t="s">
        <v>3</v>
      </c>
      <c r="E322" s="19" t="s">
        <v>3</v>
      </c>
      <c r="F322" s="19" t="s">
        <v>3</v>
      </c>
    </row>
    <row r="323" spans="1:6" ht="16.05" customHeight="1" x14ac:dyDescent="0.3">
      <c r="A323" s="19" t="s">
        <v>3</v>
      </c>
      <c r="B323" s="20" t="s">
        <v>121</v>
      </c>
      <c r="C323" s="19" t="s">
        <v>3</v>
      </c>
      <c r="D323" s="19" t="s">
        <v>3</v>
      </c>
      <c r="E323" s="19" t="s">
        <v>3</v>
      </c>
      <c r="F323" s="19" t="s">
        <v>3</v>
      </c>
    </row>
    <row r="324" spans="1:6" ht="16.05" customHeight="1" x14ac:dyDescent="0.3">
      <c r="A324" s="19" t="s">
        <v>3</v>
      </c>
      <c r="B324" s="20" t="s">
        <v>120</v>
      </c>
      <c r="C324" s="19" t="s">
        <v>3</v>
      </c>
      <c r="D324" s="19" t="s">
        <v>3</v>
      </c>
      <c r="E324" s="19" t="s">
        <v>3</v>
      </c>
      <c r="F324" s="19" t="s">
        <v>3</v>
      </c>
    </row>
    <row r="325" spans="1:6" ht="16.05" customHeight="1" x14ac:dyDescent="0.3">
      <c r="A325" s="16" t="s">
        <v>119</v>
      </c>
      <c r="B325" s="18" t="s">
        <v>118</v>
      </c>
      <c r="C325" s="16" t="s">
        <v>117</v>
      </c>
      <c r="D325" s="17">
        <v>357</v>
      </c>
      <c r="E325" s="15">
        <v>2.5</v>
      </c>
      <c r="F325" s="15">
        <f>D325*E325</f>
        <v>892.5</v>
      </c>
    </row>
    <row r="326" spans="1:6" ht="16.05" customHeight="1" x14ac:dyDescent="0.3">
      <c r="A326" s="19" t="s">
        <v>3</v>
      </c>
      <c r="B326" s="20" t="s">
        <v>75</v>
      </c>
      <c r="C326" s="19" t="s">
        <v>3</v>
      </c>
      <c r="D326" s="19" t="s">
        <v>3</v>
      </c>
      <c r="E326" s="19" t="s">
        <v>3</v>
      </c>
      <c r="F326" s="19" t="s">
        <v>3</v>
      </c>
    </row>
    <row r="327" spans="1:6" ht="16.05" customHeight="1" x14ac:dyDescent="0.3">
      <c r="A327" s="19" t="s">
        <v>3</v>
      </c>
      <c r="B327" s="20" t="s">
        <v>116</v>
      </c>
      <c r="C327" s="19" t="s">
        <v>3</v>
      </c>
      <c r="D327" s="19" t="s">
        <v>3</v>
      </c>
      <c r="E327" s="19" t="s">
        <v>3</v>
      </c>
      <c r="F327" s="19" t="s">
        <v>3</v>
      </c>
    </row>
    <row r="328" spans="1:6" ht="16.05" customHeight="1" x14ac:dyDescent="0.3">
      <c r="A328" s="16" t="s">
        <v>115</v>
      </c>
      <c r="B328" s="18" t="s">
        <v>114</v>
      </c>
      <c r="C328" s="16" t="s">
        <v>68</v>
      </c>
      <c r="D328" s="17">
        <v>1.5</v>
      </c>
      <c r="E328" s="15">
        <v>897</v>
      </c>
      <c r="F328" s="15">
        <f>D328*E328</f>
        <v>1345.5</v>
      </c>
    </row>
    <row r="329" spans="1:6" ht="16.05" customHeight="1" x14ac:dyDescent="0.3">
      <c r="A329" s="16" t="s">
        <v>94</v>
      </c>
      <c r="B329" s="18" t="s">
        <v>93</v>
      </c>
      <c r="C329" s="16" t="s">
        <v>68</v>
      </c>
      <c r="D329" s="17">
        <v>0.75</v>
      </c>
      <c r="E329" s="15">
        <v>816</v>
      </c>
      <c r="F329" s="15">
        <f>D329*E329</f>
        <v>612</v>
      </c>
    </row>
    <row r="330" spans="1:6" ht="16.05" customHeight="1" x14ac:dyDescent="0.3">
      <c r="A330" s="16" t="s">
        <v>74</v>
      </c>
      <c r="B330" s="18" t="s">
        <v>73</v>
      </c>
      <c r="C330" s="16" t="s">
        <v>68</v>
      </c>
      <c r="D330" s="17">
        <v>5.5</v>
      </c>
      <c r="E330" s="15">
        <v>736</v>
      </c>
      <c r="F330" s="15">
        <f>D330*E330</f>
        <v>4048</v>
      </c>
    </row>
    <row r="331" spans="1:6" ht="16.05" customHeight="1" x14ac:dyDescent="0.3">
      <c r="A331" s="16" t="s">
        <v>67</v>
      </c>
      <c r="B331" s="18" t="s">
        <v>79</v>
      </c>
      <c r="C331" s="16" t="s">
        <v>65</v>
      </c>
      <c r="D331" s="17">
        <v>80.73</v>
      </c>
      <c r="E331" s="15">
        <v>2.27</v>
      </c>
      <c r="F331" s="15">
        <f>D331*E331</f>
        <v>183.25710000000001</v>
      </c>
    </row>
    <row r="332" spans="1:6" x14ac:dyDescent="0.3">
      <c r="A332" s="12" t="s">
        <v>3</v>
      </c>
      <c r="B332" s="12" t="s">
        <v>48</v>
      </c>
      <c r="C332" s="12" t="s">
        <v>3</v>
      </c>
      <c r="D332" s="12" t="s">
        <v>3</v>
      </c>
      <c r="E332" s="12" t="s">
        <v>3</v>
      </c>
      <c r="F332" s="14">
        <f>(F313+F314+F325+F328+F329+F330+F331+F319)</f>
        <v>16337.377100000002</v>
      </c>
    </row>
    <row r="333" spans="1:6" x14ac:dyDescent="0.3">
      <c r="A333" s="16" t="s">
        <v>3</v>
      </c>
      <c r="B333" s="16" t="s">
        <v>51</v>
      </c>
      <c r="C333" s="16" t="s">
        <v>3</v>
      </c>
      <c r="D333" s="16" t="s">
        <v>3</v>
      </c>
      <c r="E333" s="16" t="s">
        <v>3</v>
      </c>
      <c r="F333" s="15">
        <f>(F313+F314+F325+F328+F329+F330+F331)*0.01</f>
        <v>160.81257100000002</v>
      </c>
    </row>
    <row r="334" spans="1:6" x14ac:dyDescent="0.3">
      <c r="A334" s="12" t="s">
        <v>3</v>
      </c>
      <c r="B334" s="12" t="s">
        <v>48</v>
      </c>
      <c r="C334" s="12" t="s">
        <v>3</v>
      </c>
      <c r="D334" s="12" t="s">
        <v>3</v>
      </c>
      <c r="E334" s="12" t="s">
        <v>3</v>
      </c>
      <c r="F334" s="14">
        <f>F332+F333</f>
        <v>16498.189671</v>
      </c>
    </row>
    <row r="335" spans="1:6" x14ac:dyDescent="0.3">
      <c r="A335" s="16" t="s">
        <v>3</v>
      </c>
      <c r="B335" s="16" t="s">
        <v>50</v>
      </c>
      <c r="C335" s="16" t="s">
        <v>3</v>
      </c>
      <c r="D335" s="16" t="s">
        <v>3</v>
      </c>
      <c r="E335" s="16" t="s">
        <v>3</v>
      </c>
      <c r="F335" s="15">
        <f>(F313+F314+F325+F328+F329+F330+F331+F333)*0.2127</f>
        <v>3454.6882190217002</v>
      </c>
    </row>
    <row r="336" spans="1:6" x14ac:dyDescent="0.3">
      <c r="A336" s="12" t="s">
        <v>3</v>
      </c>
      <c r="B336" s="12" t="s">
        <v>48</v>
      </c>
      <c r="C336" s="12" t="s">
        <v>3</v>
      </c>
      <c r="D336" s="12" t="s">
        <v>3</v>
      </c>
      <c r="E336" s="12" t="s">
        <v>3</v>
      </c>
      <c r="F336" s="14">
        <f>F334+F335</f>
        <v>19952.8778900217</v>
      </c>
    </row>
    <row r="337" spans="1:6" x14ac:dyDescent="0.3">
      <c r="A337" s="16" t="s">
        <v>3</v>
      </c>
      <c r="B337" s="16" t="s">
        <v>49</v>
      </c>
      <c r="C337" s="16" t="s">
        <v>3</v>
      </c>
      <c r="D337" s="16" t="s">
        <v>3</v>
      </c>
      <c r="E337" s="16" t="s">
        <v>3</v>
      </c>
      <c r="F337" s="15">
        <f>(F313+F314+F325+F328+F329+F330+F331+F333+F335)*0.15</f>
        <v>2954.5136835032549</v>
      </c>
    </row>
    <row r="338" spans="1:6" x14ac:dyDescent="0.3">
      <c r="A338" s="12" t="s">
        <v>3</v>
      </c>
      <c r="B338" s="12" t="s">
        <v>48</v>
      </c>
      <c r="C338" s="12" t="s">
        <v>3</v>
      </c>
      <c r="D338" s="12" t="s">
        <v>3</v>
      </c>
      <c r="E338" s="12" t="s">
        <v>3</v>
      </c>
      <c r="F338" s="14">
        <f>F336+F337</f>
        <v>22907.391573524954</v>
      </c>
    </row>
    <row r="339" spans="1:6" x14ac:dyDescent="0.3">
      <c r="A339" s="16" t="s">
        <v>3</v>
      </c>
      <c r="B339" s="16" t="s">
        <v>47</v>
      </c>
      <c r="C339" s="16" t="s">
        <v>3</v>
      </c>
      <c r="D339" s="16" t="s">
        <v>3</v>
      </c>
      <c r="E339" s="16" t="s">
        <v>3</v>
      </c>
      <c r="F339" s="15">
        <f>(F313+F314+F325+F328+F329+F330+F331+F333+F335+F337)*0.01</f>
        <v>226.51271573524954</v>
      </c>
    </row>
    <row r="340" spans="1:6" x14ac:dyDescent="0.3">
      <c r="A340" s="12" t="s">
        <v>3</v>
      </c>
      <c r="B340" s="12" t="s">
        <v>78</v>
      </c>
      <c r="C340" s="12" t="s">
        <v>3</v>
      </c>
      <c r="D340" s="12" t="s">
        <v>3</v>
      </c>
      <c r="E340" s="12" t="s">
        <v>3</v>
      </c>
      <c r="F340" s="14">
        <f>F338+F339</f>
        <v>23133.904289260205</v>
      </c>
    </row>
    <row r="341" spans="1:6" ht="15.6" x14ac:dyDescent="0.3">
      <c r="A341" s="12" t="s">
        <v>3</v>
      </c>
      <c r="B341" s="12" t="s">
        <v>63</v>
      </c>
      <c r="C341" s="12" t="s">
        <v>3</v>
      </c>
      <c r="D341" s="12" t="s">
        <v>3</v>
      </c>
      <c r="E341" s="12" t="s">
        <v>3</v>
      </c>
      <c r="F341" s="13">
        <f>F340/1</f>
        <v>23133.904289260205</v>
      </c>
    </row>
    <row r="342" spans="1:6" ht="15.6" x14ac:dyDescent="0.3">
      <c r="A342" s="12" t="s">
        <v>3</v>
      </c>
      <c r="B342" s="12" t="s">
        <v>3</v>
      </c>
      <c r="C342" s="12" t="s">
        <v>3</v>
      </c>
      <c r="D342" s="12" t="s">
        <v>3</v>
      </c>
      <c r="E342" s="11" t="s">
        <v>44</v>
      </c>
      <c r="F342" s="10">
        <f>MROUND(F341, 0.05)</f>
        <v>23133.9</v>
      </c>
    </row>
    <row r="345" spans="1:6" x14ac:dyDescent="0.3">
      <c r="A345" s="12" t="s">
        <v>62</v>
      </c>
      <c r="B345" s="12" t="s">
        <v>34</v>
      </c>
    </row>
    <row r="346" spans="1:6" ht="48" customHeight="1" x14ac:dyDescent="0.3">
      <c r="A346" s="12" t="s">
        <v>61</v>
      </c>
      <c r="B346" s="22" t="s">
        <v>113</v>
      </c>
      <c r="C346" s="22"/>
      <c r="D346" s="22"/>
      <c r="E346" s="22"/>
      <c r="F346" s="22"/>
    </row>
    <row r="347" spans="1:6" x14ac:dyDescent="0.3">
      <c r="A347" s="12" t="s">
        <v>60</v>
      </c>
      <c r="B347" s="12" t="s">
        <v>112</v>
      </c>
    </row>
    <row r="348" spans="1:6" x14ac:dyDescent="0.3">
      <c r="A348" s="21" t="s">
        <v>7</v>
      </c>
      <c r="B348" s="21" t="s">
        <v>56</v>
      </c>
      <c r="C348" s="21" t="s">
        <v>9</v>
      </c>
      <c r="D348" s="21" t="s">
        <v>10</v>
      </c>
      <c r="E348" s="21" t="s">
        <v>58</v>
      </c>
      <c r="F348" s="21" t="s">
        <v>57</v>
      </c>
    </row>
    <row r="349" spans="1:6" ht="16.05" customHeight="1" x14ac:dyDescent="0.3">
      <c r="A349" s="19" t="s">
        <v>3</v>
      </c>
      <c r="B349" s="20" t="s">
        <v>56</v>
      </c>
      <c r="C349" s="19" t="s">
        <v>3</v>
      </c>
      <c r="D349" s="19" t="s">
        <v>3</v>
      </c>
      <c r="E349" s="19" t="s">
        <v>3</v>
      </c>
      <c r="F349" s="19" t="s">
        <v>3</v>
      </c>
    </row>
    <row r="350" spans="1:6" ht="16.05" customHeight="1" x14ac:dyDescent="0.3">
      <c r="A350" s="19" t="s">
        <v>3</v>
      </c>
      <c r="B350" s="20" t="s">
        <v>111</v>
      </c>
      <c r="C350" s="19" t="s">
        <v>3</v>
      </c>
      <c r="D350" s="19" t="s">
        <v>3</v>
      </c>
      <c r="E350" s="19" t="s">
        <v>3</v>
      </c>
      <c r="F350" s="19" t="s">
        <v>3</v>
      </c>
    </row>
    <row r="351" spans="1:6" ht="16.05" customHeight="1" x14ac:dyDescent="0.3">
      <c r="A351" s="19" t="s">
        <v>3</v>
      </c>
      <c r="B351" s="20" t="s">
        <v>89</v>
      </c>
      <c r="C351" s="19" t="s">
        <v>3</v>
      </c>
      <c r="D351" s="19" t="s">
        <v>3</v>
      </c>
      <c r="E351" s="19" t="s">
        <v>3</v>
      </c>
      <c r="F351" s="19" t="s">
        <v>3</v>
      </c>
    </row>
    <row r="352" spans="1:6" ht="16.05" customHeight="1" x14ac:dyDescent="0.3">
      <c r="A352" s="19" t="s">
        <v>3</v>
      </c>
      <c r="B352" s="20" t="s">
        <v>110</v>
      </c>
      <c r="C352" s="19" t="s">
        <v>3</v>
      </c>
      <c r="D352" s="19" t="s">
        <v>3</v>
      </c>
      <c r="E352" s="19" t="s">
        <v>3</v>
      </c>
      <c r="F352" s="19" t="s">
        <v>3</v>
      </c>
    </row>
    <row r="353" spans="1:6" ht="16.05" customHeight="1" x14ac:dyDescent="0.3">
      <c r="A353" s="19" t="s">
        <v>3</v>
      </c>
      <c r="B353" s="20" t="s">
        <v>109</v>
      </c>
      <c r="C353" s="19" t="s">
        <v>3</v>
      </c>
      <c r="D353" s="19" t="s">
        <v>3</v>
      </c>
      <c r="E353" s="19" t="s">
        <v>3</v>
      </c>
      <c r="F353" s="19" t="s">
        <v>3</v>
      </c>
    </row>
    <row r="354" spans="1:6" ht="16.05" customHeight="1" x14ac:dyDescent="0.3">
      <c r="A354" s="19" t="s">
        <v>3</v>
      </c>
      <c r="B354" s="20" t="s">
        <v>108</v>
      </c>
      <c r="C354" s="19" t="s">
        <v>3</v>
      </c>
      <c r="D354" s="19" t="s">
        <v>3</v>
      </c>
      <c r="E354" s="19" t="s">
        <v>3</v>
      </c>
      <c r="F354" s="19" t="s">
        <v>3</v>
      </c>
    </row>
    <row r="355" spans="1:6" ht="16.05" customHeight="1" x14ac:dyDescent="0.3">
      <c r="A355" s="16" t="s">
        <v>107</v>
      </c>
      <c r="B355" s="18" t="s">
        <v>106</v>
      </c>
      <c r="C355" s="16" t="s">
        <v>105</v>
      </c>
      <c r="D355" s="17">
        <v>11</v>
      </c>
      <c r="E355" s="15">
        <v>330</v>
      </c>
      <c r="F355" s="15">
        <f>D355*E355</f>
        <v>3630</v>
      </c>
    </row>
    <row r="356" spans="1:6" ht="16.05" customHeight="1" x14ac:dyDescent="0.3">
      <c r="A356" s="16" t="s">
        <v>104</v>
      </c>
      <c r="B356" s="18" t="s">
        <v>103</v>
      </c>
      <c r="C356" s="16" t="s">
        <v>65</v>
      </c>
      <c r="D356" s="17">
        <v>34.06</v>
      </c>
      <c r="E356" s="15">
        <v>2.27</v>
      </c>
      <c r="F356" s="15">
        <f>D356*E356</f>
        <v>77.316200000000009</v>
      </c>
    </row>
    <row r="357" spans="1:6" ht="16.05" customHeight="1" x14ac:dyDescent="0.3">
      <c r="A357" s="19" t="s">
        <v>3</v>
      </c>
      <c r="B357" s="20" t="s">
        <v>102</v>
      </c>
      <c r="C357" s="19" t="s">
        <v>3</v>
      </c>
      <c r="D357" s="19" t="s">
        <v>3</v>
      </c>
      <c r="E357" s="19" t="s">
        <v>3</v>
      </c>
      <c r="F357" s="19" t="s">
        <v>3</v>
      </c>
    </row>
    <row r="358" spans="1:6" ht="16.05" customHeight="1" x14ac:dyDescent="0.3">
      <c r="A358" s="19" t="s">
        <v>3</v>
      </c>
      <c r="B358" s="20" t="s">
        <v>101</v>
      </c>
      <c r="C358" s="19" t="s">
        <v>3</v>
      </c>
      <c r="D358" s="19" t="s">
        <v>3</v>
      </c>
      <c r="E358" s="19" t="s">
        <v>3</v>
      </c>
      <c r="F358" s="19" t="s">
        <v>3</v>
      </c>
    </row>
    <row r="359" spans="1:6" ht="16.05" customHeight="1" x14ac:dyDescent="0.3">
      <c r="A359" s="19" t="s">
        <v>3</v>
      </c>
      <c r="B359" s="20" t="s">
        <v>100</v>
      </c>
      <c r="C359" s="19" t="s">
        <v>3</v>
      </c>
      <c r="D359" s="19" t="s">
        <v>3</v>
      </c>
      <c r="E359" s="19" t="s">
        <v>3</v>
      </c>
      <c r="F359" s="19" t="s">
        <v>3</v>
      </c>
    </row>
    <row r="360" spans="1:6" ht="16.05" customHeight="1" x14ac:dyDescent="0.3">
      <c r="A360" s="19" t="s">
        <v>3</v>
      </c>
      <c r="B360" s="20" t="s">
        <v>99</v>
      </c>
      <c r="C360" s="19" t="s">
        <v>3</v>
      </c>
      <c r="D360" s="19" t="s">
        <v>3</v>
      </c>
      <c r="E360" s="19" t="s">
        <v>3</v>
      </c>
      <c r="F360" s="19" t="s">
        <v>3</v>
      </c>
    </row>
    <row r="361" spans="1:6" ht="16.05" customHeight="1" x14ac:dyDescent="0.3">
      <c r="A361" s="16" t="s">
        <v>98</v>
      </c>
      <c r="B361" s="18" t="s">
        <v>97</v>
      </c>
      <c r="C361" s="16" t="s">
        <v>52</v>
      </c>
      <c r="D361" s="17">
        <v>0.25</v>
      </c>
      <c r="E361" s="15">
        <v>3850.76</v>
      </c>
      <c r="F361" s="15">
        <f>D361*E361</f>
        <v>962.69</v>
      </c>
    </row>
    <row r="362" spans="1:6" ht="16.05" customHeight="1" x14ac:dyDescent="0.3">
      <c r="A362" s="19" t="s">
        <v>3</v>
      </c>
      <c r="B362" s="20" t="s">
        <v>75</v>
      </c>
      <c r="C362" s="19" t="s">
        <v>3</v>
      </c>
      <c r="D362" s="19" t="s">
        <v>3</v>
      </c>
      <c r="E362" s="19" t="s">
        <v>3</v>
      </c>
      <c r="F362" s="19" t="s">
        <v>3</v>
      </c>
    </row>
    <row r="363" spans="1:6" ht="16.05" customHeight="1" x14ac:dyDescent="0.3">
      <c r="A363" s="16" t="s">
        <v>96</v>
      </c>
      <c r="B363" s="18" t="s">
        <v>95</v>
      </c>
      <c r="C363" s="16" t="s">
        <v>68</v>
      </c>
      <c r="D363" s="17">
        <v>3.1</v>
      </c>
      <c r="E363" s="15">
        <v>897</v>
      </c>
      <c r="F363" s="15">
        <f>D363*E363</f>
        <v>2780.7000000000003</v>
      </c>
    </row>
    <row r="364" spans="1:6" ht="16.05" customHeight="1" x14ac:dyDescent="0.3">
      <c r="A364" s="16" t="s">
        <v>94</v>
      </c>
      <c r="B364" s="18" t="s">
        <v>93</v>
      </c>
      <c r="C364" s="16" t="s">
        <v>68</v>
      </c>
      <c r="D364" s="17">
        <v>1.1000000000000001</v>
      </c>
      <c r="E364" s="15">
        <v>816</v>
      </c>
      <c r="F364" s="15">
        <f>D364*E364</f>
        <v>897.6</v>
      </c>
    </row>
    <row r="365" spans="1:6" ht="16.05" customHeight="1" x14ac:dyDescent="0.3">
      <c r="A365" s="16" t="s">
        <v>72</v>
      </c>
      <c r="B365" s="18" t="s">
        <v>71</v>
      </c>
      <c r="C365" s="16" t="s">
        <v>68</v>
      </c>
      <c r="D365" s="17">
        <v>0.55000000000000004</v>
      </c>
      <c r="E365" s="15">
        <v>736</v>
      </c>
      <c r="F365" s="15">
        <f>D365*E365</f>
        <v>404.8</v>
      </c>
    </row>
    <row r="366" spans="1:6" ht="16.05" customHeight="1" x14ac:dyDescent="0.3">
      <c r="A366" s="16" t="s">
        <v>70</v>
      </c>
      <c r="B366" s="18" t="s">
        <v>69</v>
      </c>
      <c r="C366" s="16" t="s">
        <v>68</v>
      </c>
      <c r="D366" s="17">
        <v>0.27</v>
      </c>
      <c r="E366" s="15">
        <v>816</v>
      </c>
      <c r="F366" s="15">
        <f>D366*E366</f>
        <v>220.32000000000002</v>
      </c>
    </row>
    <row r="367" spans="1:6" ht="16.05" customHeight="1" x14ac:dyDescent="0.3">
      <c r="A367" s="16" t="s">
        <v>67</v>
      </c>
      <c r="B367" s="18" t="s">
        <v>79</v>
      </c>
      <c r="C367" s="16" t="s">
        <v>65</v>
      </c>
      <c r="D367" s="17">
        <v>10.79</v>
      </c>
      <c r="E367" s="15">
        <v>2.27</v>
      </c>
      <c r="F367" s="15">
        <f>D367*E367</f>
        <v>24.493299999999998</v>
      </c>
    </row>
    <row r="368" spans="1:6" x14ac:dyDescent="0.3">
      <c r="A368" s="12" t="s">
        <v>3</v>
      </c>
      <c r="B368" s="12" t="s">
        <v>48</v>
      </c>
      <c r="C368" s="12" t="s">
        <v>3</v>
      </c>
      <c r="D368" s="12" t="s">
        <v>3</v>
      </c>
      <c r="E368" s="12" t="s">
        <v>3</v>
      </c>
      <c r="F368" s="14">
        <f>(F355+F356+F361+F363+F364+F365+F366+F367+0)</f>
        <v>8997.9195</v>
      </c>
    </row>
    <row r="369" spans="1:6" x14ac:dyDescent="0.3">
      <c r="A369" s="16" t="s">
        <v>3</v>
      </c>
      <c r="B369" s="16" t="s">
        <v>51</v>
      </c>
      <c r="C369" s="16" t="s">
        <v>3</v>
      </c>
      <c r="D369" s="16" t="s">
        <v>3</v>
      </c>
      <c r="E369" s="16" t="s">
        <v>3</v>
      </c>
      <c r="F369" s="15">
        <f>(F355+F356+F361+F363+F364+F365+F366+F367)*0.01</f>
        <v>89.979195000000004</v>
      </c>
    </row>
    <row r="370" spans="1:6" x14ac:dyDescent="0.3">
      <c r="A370" s="12" t="s">
        <v>3</v>
      </c>
      <c r="B370" s="12" t="s">
        <v>48</v>
      </c>
      <c r="C370" s="12" t="s">
        <v>3</v>
      </c>
      <c r="D370" s="12" t="s">
        <v>3</v>
      </c>
      <c r="E370" s="12" t="s">
        <v>3</v>
      </c>
      <c r="F370" s="14">
        <f>F368+F369</f>
        <v>9087.8986949999999</v>
      </c>
    </row>
    <row r="371" spans="1:6" x14ac:dyDescent="0.3">
      <c r="A371" s="16" t="s">
        <v>3</v>
      </c>
      <c r="B371" s="16" t="s">
        <v>50</v>
      </c>
      <c r="C371" s="16" t="s">
        <v>3</v>
      </c>
      <c r="D371" s="16" t="s">
        <v>3</v>
      </c>
      <c r="E371" s="16" t="s">
        <v>3</v>
      </c>
      <c r="F371" s="15">
        <f>(F355+F356+F361+F363+F364+F365+F366+F367+F369)*0.2127</f>
        <v>1932.9960524265</v>
      </c>
    </row>
    <row r="372" spans="1:6" x14ac:dyDescent="0.3">
      <c r="A372" s="12" t="s">
        <v>3</v>
      </c>
      <c r="B372" s="12" t="s">
        <v>48</v>
      </c>
      <c r="C372" s="12" t="s">
        <v>3</v>
      </c>
      <c r="D372" s="12" t="s">
        <v>3</v>
      </c>
      <c r="E372" s="12" t="s">
        <v>3</v>
      </c>
      <c r="F372" s="14">
        <f>F370+F371</f>
        <v>11020.894747426501</v>
      </c>
    </row>
    <row r="373" spans="1:6" x14ac:dyDescent="0.3">
      <c r="A373" s="16" t="s">
        <v>3</v>
      </c>
      <c r="B373" s="16" t="s">
        <v>49</v>
      </c>
      <c r="C373" s="16" t="s">
        <v>3</v>
      </c>
      <c r="D373" s="16" t="s">
        <v>3</v>
      </c>
      <c r="E373" s="16" t="s">
        <v>3</v>
      </c>
      <c r="F373" s="15">
        <f>(F355+F356+F361+F363+F364+F365+F366+F367+F369+F371)*0.15</f>
        <v>1653.1342121139751</v>
      </c>
    </row>
    <row r="374" spans="1:6" x14ac:dyDescent="0.3">
      <c r="A374" s="12" t="s">
        <v>3</v>
      </c>
      <c r="B374" s="12" t="s">
        <v>48</v>
      </c>
      <c r="C374" s="12" t="s">
        <v>3</v>
      </c>
      <c r="D374" s="12" t="s">
        <v>3</v>
      </c>
      <c r="E374" s="12" t="s">
        <v>3</v>
      </c>
      <c r="F374" s="14">
        <f>F372+F373</f>
        <v>12674.028959540476</v>
      </c>
    </row>
    <row r="375" spans="1:6" x14ac:dyDescent="0.3">
      <c r="A375" s="16" t="s">
        <v>3</v>
      </c>
      <c r="B375" s="16" t="s">
        <v>47</v>
      </c>
      <c r="C375" s="16" t="s">
        <v>3</v>
      </c>
      <c r="D375" s="16" t="s">
        <v>3</v>
      </c>
      <c r="E375" s="16" t="s">
        <v>3</v>
      </c>
      <c r="F375" s="15">
        <f>(F355+F356+F361+F363+F364+F365+F366+F367+F369+F371+F373)*0.01</f>
        <v>126.74028959540476</v>
      </c>
    </row>
    <row r="376" spans="1:6" x14ac:dyDescent="0.3">
      <c r="A376" s="12" t="s">
        <v>3</v>
      </c>
      <c r="B376" s="12" t="s">
        <v>92</v>
      </c>
      <c r="C376" s="12" t="s">
        <v>3</v>
      </c>
      <c r="D376" s="12" t="s">
        <v>3</v>
      </c>
      <c r="E376" s="12" t="s">
        <v>3</v>
      </c>
      <c r="F376" s="14">
        <f>F374+F375</f>
        <v>12800.769249135881</v>
      </c>
    </row>
    <row r="377" spans="1:6" ht="15.6" x14ac:dyDescent="0.3">
      <c r="A377" s="12" t="s">
        <v>3</v>
      </c>
      <c r="B377" s="12" t="s">
        <v>91</v>
      </c>
      <c r="C377" s="12" t="s">
        <v>3</v>
      </c>
      <c r="D377" s="12" t="s">
        <v>3</v>
      </c>
      <c r="E377" s="12" t="s">
        <v>3</v>
      </c>
      <c r="F377" s="13">
        <f>F376/10</f>
        <v>1280.0769249135881</v>
      </c>
    </row>
    <row r="378" spans="1:6" ht="15.6" x14ac:dyDescent="0.3">
      <c r="A378" s="12" t="s">
        <v>3</v>
      </c>
      <c r="B378" s="12" t="s">
        <v>3</v>
      </c>
      <c r="C378" s="12" t="s">
        <v>3</v>
      </c>
      <c r="D378" s="12" t="s">
        <v>3</v>
      </c>
      <c r="E378" s="11" t="s">
        <v>44</v>
      </c>
      <c r="F378" s="10">
        <f>MROUND(F377, 0.05)</f>
        <v>1280.1000000000001</v>
      </c>
    </row>
    <row r="381" spans="1:6" x14ac:dyDescent="0.3">
      <c r="A381" s="12" t="s">
        <v>62</v>
      </c>
      <c r="B381" s="12" t="s">
        <v>36</v>
      </c>
    </row>
    <row r="382" spans="1:6" ht="48" customHeight="1" x14ac:dyDescent="0.3">
      <c r="A382" s="12" t="s">
        <v>61</v>
      </c>
      <c r="B382" s="22" t="s">
        <v>90</v>
      </c>
      <c r="C382" s="22"/>
      <c r="D382" s="22"/>
      <c r="E382" s="22"/>
      <c r="F382" s="22"/>
    </row>
    <row r="383" spans="1:6" x14ac:dyDescent="0.3">
      <c r="A383" s="12" t="s">
        <v>60</v>
      </c>
      <c r="B383" s="12" t="s">
        <v>77</v>
      </c>
    </row>
    <row r="384" spans="1:6" x14ac:dyDescent="0.3">
      <c r="A384" s="21" t="s">
        <v>7</v>
      </c>
      <c r="B384" s="21" t="s">
        <v>56</v>
      </c>
      <c r="C384" s="21" t="s">
        <v>9</v>
      </c>
      <c r="D384" s="21" t="s">
        <v>10</v>
      </c>
      <c r="E384" s="21" t="s">
        <v>58</v>
      </c>
      <c r="F384" s="21" t="s">
        <v>57</v>
      </c>
    </row>
    <row r="385" spans="1:6" ht="16.05" customHeight="1" x14ac:dyDescent="0.3">
      <c r="A385" s="19" t="s">
        <v>3</v>
      </c>
      <c r="B385" s="20" t="s">
        <v>56</v>
      </c>
      <c r="C385" s="19" t="s">
        <v>3</v>
      </c>
      <c r="D385" s="19" t="s">
        <v>3</v>
      </c>
      <c r="E385" s="19" t="s">
        <v>3</v>
      </c>
      <c r="F385" s="19" t="s">
        <v>3</v>
      </c>
    </row>
    <row r="386" spans="1:6" ht="16.05" customHeight="1" x14ac:dyDescent="0.3">
      <c r="A386" s="19" t="s">
        <v>3</v>
      </c>
      <c r="B386" s="20" t="s">
        <v>76</v>
      </c>
      <c r="C386" s="19" t="s">
        <v>3</v>
      </c>
      <c r="D386" s="19" t="s">
        <v>3</v>
      </c>
      <c r="E386" s="19" t="s">
        <v>3</v>
      </c>
      <c r="F386" s="19" t="s">
        <v>3</v>
      </c>
    </row>
    <row r="387" spans="1:6" ht="16.05" customHeight="1" x14ac:dyDescent="0.3">
      <c r="A387" s="19" t="s">
        <v>3</v>
      </c>
      <c r="B387" s="20" t="s">
        <v>89</v>
      </c>
      <c r="C387" s="19" t="s">
        <v>3</v>
      </c>
      <c r="D387" s="19" t="s">
        <v>3</v>
      </c>
      <c r="E387" s="19" t="s">
        <v>3</v>
      </c>
      <c r="F387" s="19" t="s">
        <v>3</v>
      </c>
    </row>
    <row r="388" spans="1:6" ht="16.05" customHeight="1" x14ac:dyDescent="0.3">
      <c r="A388" s="19" t="s">
        <v>3</v>
      </c>
      <c r="B388" s="20" t="s">
        <v>88</v>
      </c>
      <c r="C388" s="19" t="s">
        <v>3</v>
      </c>
      <c r="D388" s="19" t="s">
        <v>3</v>
      </c>
      <c r="E388" s="19" t="s">
        <v>3</v>
      </c>
      <c r="F388" s="19" t="s">
        <v>3</v>
      </c>
    </row>
    <row r="389" spans="1:6" ht="16.05" customHeight="1" x14ac:dyDescent="0.3">
      <c r="A389" s="16" t="s">
        <v>87</v>
      </c>
      <c r="B389" s="18" t="s">
        <v>86</v>
      </c>
      <c r="C389" s="16" t="s">
        <v>52</v>
      </c>
      <c r="D389" s="17">
        <v>0.14399999999999999</v>
      </c>
      <c r="E389" s="15">
        <v>4211.68</v>
      </c>
      <c r="F389" s="15">
        <f>D389*E389</f>
        <v>606.48191999999995</v>
      </c>
    </row>
    <row r="390" spans="1:6" ht="16.05" customHeight="1" x14ac:dyDescent="0.3">
      <c r="A390" s="19" t="s">
        <v>3</v>
      </c>
      <c r="B390" s="20" t="s">
        <v>75</v>
      </c>
      <c r="C390" s="19" t="s">
        <v>3</v>
      </c>
      <c r="D390" s="19" t="s">
        <v>3</v>
      </c>
      <c r="E390" s="19" t="s">
        <v>3</v>
      </c>
      <c r="F390" s="19" t="s">
        <v>3</v>
      </c>
    </row>
    <row r="391" spans="1:6" ht="16.05" customHeight="1" x14ac:dyDescent="0.3">
      <c r="A391" s="16" t="s">
        <v>85</v>
      </c>
      <c r="B391" s="18" t="s">
        <v>84</v>
      </c>
      <c r="C391" s="16" t="s">
        <v>68</v>
      </c>
      <c r="D391" s="17">
        <v>0.67</v>
      </c>
      <c r="E391" s="15">
        <v>857</v>
      </c>
      <c r="F391" s="15">
        <f>D391*E391</f>
        <v>574.19000000000005</v>
      </c>
    </row>
    <row r="392" spans="1:6" ht="16.05" customHeight="1" x14ac:dyDescent="0.3">
      <c r="A392" s="16" t="s">
        <v>72</v>
      </c>
      <c r="B392" s="18" t="s">
        <v>71</v>
      </c>
      <c r="C392" s="16" t="s">
        <v>68</v>
      </c>
      <c r="D392" s="17">
        <v>0.75</v>
      </c>
      <c r="E392" s="15">
        <v>736</v>
      </c>
      <c r="F392" s="15">
        <f>D392*E392</f>
        <v>552</v>
      </c>
    </row>
    <row r="393" spans="1:6" ht="16.05" customHeight="1" x14ac:dyDescent="0.3">
      <c r="A393" s="16" t="s">
        <v>70</v>
      </c>
      <c r="B393" s="18" t="s">
        <v>69</v>
      </c>
      <c r="C393" s="16" t="s">
        <v>68</v>
      </c>
      <c r="D393" s="17">
        <v>0.92</v>
      </c>
      <c r="E393" s="15">
        <v>816</v>
      </c>
      <c r="F393" s="15">
        <f>D393*E393</f>
        <v>750.72</v>
      </c>
    </row>
    <row r="394" spans="1:6" ht="16.05" customHeight="1" x14ac:dyDescent="0.3">
      <c r="A394" s="16" t="s">
        <v>67</v>
      </c>
      <c r="B394" s="18" t="s">
        <v>83</v>
      </c>
      <c r="C394" s="16" t="s">
        <v>65</v>
      </c>
      <c r="D394" s="17">
        <v>12.61</v>
      </c>
      <c r="E394" s="15">
        <v>2.27</v>
      </c>
      <c r="F394" s="15">
        <f>D394*E394</f>
        <v>28.624700000000001</v>
      </c>
    </row>
    <row r="395" spans="1:6" x14ac:dyDescent="0.3">
      <c r="A395" s="12" t="s">
        <v>3</v>
      </c>
      <c r="B395" s="12" t="s">
        <v>48</v>
      </c>
      <c r="C395" s="12" t="s">
        <v>3</v>
      </c>
      <c r="D395" s="12" t="s">
        <v>3</v>
      </c>
      <c r="E395" s="12" t="s">
        <v>3</v>
      </c>
      <c r="F395" s="14">
        <f>(F389+F391+F392+F393+F394+0)</f>
        <v>2512.0166199999999</v>
      </c>
    </row>
    <row r="396" spans="1:6" x14ac:dyDescent="0.3">
      <c r="A396" s="16" t="s">
        <v>3</v>
      </c>
      <c r="B396" s="16" t="s">
        <v>51</v>
      </c>
      <c r="C396" s="16" t="s">
        <v>3</v>
      </c>
      <c r="D396" s="16" t="s">
        <v>3</v>
      </c>
      <c r="E396" s="16" t="s">
        <v>3</v>
      </c>
      <c r="F396" s="15">
        <f>(F389+F391+F392+F393+F394)*0.01</f>
        <v>25.1201662</v>
      </c>
    </row>
    <row r="397" spans="1:6" x14ac:dyDescent="0.3">
      <c r="A397" s="12" t="s">
        <v>3</v>
      </c>
      <c r="B397" s="12" t="s">
        <v>48</v>
      </c>
      <c r="C397" s="12" t="s">
        <v>3</v>
      </c>
      <c r="D397" s="12" t="s">
        <v>3</v>
      </c>
      <c r="E397" s="12" t="s">
        <v>3</v>
      </c>
      <c r="F397" s="14">
        <f>F395+F396</f>
        <v>2537.1367861999997</v>
      </c>
    </row>
    <row r="398" spans="1:6" x14ac:dyDescent="0.3">
      <c r="A398" s="16" t="s">
        <v>3</v>
      </c>
      <c r="B398" s="16" t="s">
        <v>50</v>
      </c>
      <c r="C398" s="16" t="s">
        <v>3</v>
      </c>
      <c r="D398" s="16" t="s">
        <v>3</v>
      </c>
      <c r="E398" s="16" t="s">
        <v>3</v>
      </c>
      <c r="F398" s="15">
        <f>(F389+F391+F392+F393+F394+F396)*0.2127</f>
        <v>539.64899442473995</v>
      </c>
    </row>
    <row r="399" spans="1:6" x14ac:dyDescent="0.3">
      <c r="A399" s="12" t="s">
        <v>3</v>
      </c>
      <c r="B399" s="12" t="s">
        <v>48</v>
      </c>
      <c r="C399" s="12" t="s">
        <v>3</v>
      </c>
      <c r="D399" s="12" t="s">
        <v>3</v>
      </c>
      <c r="E399" s="12" t="s">
        <v>3</v>
      </c>
      <c r="F399" s="14">
        <f>F397+F398</f>
        <v>3076.7857806247398</v>
      </c>
    </row>
    <row r="400" spans="1:6" x14ac:dyDescent="0.3">
      <c r="A400" s="16" t="s">
        <v>3</v>
      </c>
      <c r="B400" s="16" t="s">
        <v>49</v>
      </c>
      <c r="C400" s="16" t="s">
        <v>3</v>
      </c>
      <c r="D400" s="16" t="s">
        <v>3</v>
      </c>
      <c r="E400" s="16" t="s">
        <v>3</v>
      </c>
      <c r="F400" s="15">
        <f>(F389+F391+F392+F393+F394+F396+F398)*0.15</f>
        <v>461.51786709371095</v>
      </c>
    </row>
    <row r="401" spans="1:6" x14ac:dyDescent="0.3">
      <c r="A401" s="12" t="s">
        <v>3</v>
      </c>
      <c r="B401" s="12" t="s">
        <v>48</v>
      </c>
      <c r="C401" s="12" t="s">
        <v>3</v>
      </c>
      <c r="D401" s="12" t="s">
        <v>3</v>
      </c>
      <c r="E401" s="12" t="s">
        <v>3</v>
      </c>
      <c r="F401" s="14">
        <f>F399+F400</f>
        <v>3538.3036477184505</v>
      </c>
    </row>
    <row r="402" spans="1:6" x14ac:dyDescent="0.3">
      <c r="A402" s="16" t="s">
        <v>3</v>
      </c>
      <c r="B402" s="16" t="s">
        <v>47</v>
      </c>
      <c r="C402" s="16" t="s">
        <v>3</v>
      </c>
      <c r="D402" s="16" t="s">
        <v>3</v>
      </c>
      <c r="E402" s="16" t="s">
        <v>3</v>
      </c>
      <c r="F402" s="15">
        <f>(F389+F391+F392+F393+F394+F396+F398+F400)*0.01</f>
        <v>35.383036477184504</v>
      </c>
    </row>
    <row r="403" spans="1:6" x14ac:dyDescent="0.3">
      <c r="A403" s="12" t="s">
        <v>3</v>
      </c>
      <c r="B403" s="12" t="s">
        <v>64</v>
      </c>
      <c r="C403" s="12" t="s">
        <v>3</v>
      </c>
      <c r="D403" s="12" t="s">
        <v>3</v>
      </c>
      <c r="E403" s="12" t="s">
        <v>3</v>
      </c>
      <c r="F403" s="14">
        <f>F401+F402</f>
        <v>3573.6866841956348</v>
      </c>
    </row>
    <row r="404" spans="1:6" ht="15.6" x14ac:dyDescent="0.3">
      <c r="A404" s="12" t="s">
        <v>3</v>
      </c>
      <c r="B404" s="12" t="s">
        <v>63</v>
      </c>
      <c r="C404" s="12" t="s">
        <v>3</v>
      </c>
      <c r="D404" s="12" t="s">
        <v>3</v>
      </c>
      <c r="E404" s="12" t="s">
        <v>3</v>
      </c>
      <c r="F404" s="13">
        <f>F403/10</f>
        <v>357.36866841956351</v>
      </c>
    </row>
    <row r="405" spans="1:6" ht="15.6" x14ac:dyDescent="0.3">
      <c r="A405" s="12" t="s">
        <v>3</v>
      </c>
      <c r="B405" s="12" t="s">
        <v>3</v>
      </c>
      <c r="C405" s="12" t="s">
        <v>3</v>
      </c>
      <c r="D405" s="12" t="s">
        <v>3</v>
      </c>
      <c r="E405" s="11" t="s">
        <v>44</v>
      </c>
      <c r="F405" s="10">
        <f>MROUND(F404, 0.05)</f>
        <v>357.35</v>
      </c>
    </row>
    <row r="408" spans="1:6" x14ac:dyDescent="0.3">
      <c r="A408" s="12" t="s">
        <v>62</v>
      </c>
      <c r="B408" s="12" t="s">
        <v>38</v>
      </c>
    </row>
    <row r="409" spans="1:6" ht="48" customHeight="1" x14ac:dyDescent="0.3">
      <c r="A409" s="12" t="s">
        <v>61</v>
      </c>
      <c r="B409" s="22" t="s">
        <v>82</v>
      </c>
      <c r="C409" s="22"/>
      <c r="D409" s="22"/>
      <c r="E409" s="22"/>
      <c r="F409" s="22"/>
    </row>
    <row r="410" spans="1:6" x14ac:dyDescent="0.3">
      <c r="A410" s="12" t="s">
        <v>60</v>
      </c>
      <c r="B410" s="12" t="s">
        <v>81</v>
      </c>
    </row>
    <row r="411" spans="1:6" x14ac:dyDescent="0.3">
      <c r="A411" s="21" t="s">
        <v>7</v>
      </c>
      <c r="B411" s="21" t="s">
        <v>56</v>
      </c>
      <c r="C411" s="21" t="s">
        <v>9</v>
      </c>
      <c r="D411" s="21" t="s">
        <v>10</v>
      </c>
      <c r="E411" s="21" t="s">
        <v>58</v>
      </c>
      <c r="F411" s="21" t="s">
        <v>57</v>
      </c>
    </row>
    <row r="412" spans="1:6" ht="16.05" customHeight="1" x14ac:dyDescent="0.3">
      <c r="A412" s="19" t="s">
        <v>3</v>
      </c>
      <c r="B412" s="20" t="s">
        <v>56</v>
      </c>
      <c r="C412" s="19" t="s">
        <v>3</v>
      </c>
      <c r="D412" s="19" t="s">
        <v>3</v>
      </c>
      <c r="E412" s="19" t="s">
        <v>3</v>
      </c>
      <c r="F412" s="19" t="s">
        <v>3</v>
      </c>
    </row>
    <row r="413" spans="1:6" ht="16.05" customHeight="1" x14ac:dyDescent="0.3">
      <c r="A413" s="19" t="s">
        <v>3</v>
      </c>
      <c r="B413" s="20" t="s">
        <v>80</v>
      </c>
      <c r="C413" s="19" t="s">
        <v>3</v>
      </c>
      <c r="D413" s="19" t="s">
        <v>3</v>
      </c>
      <c r="E413" s="19" t="s">
        <v>3</v>
      </c>
      <c r="F413" s="19" t="s">
        <v>3</v>
      </c>
    </row>
    <row r="414" spans="1:6" ht="16.05" customHeight="1" x14ac:dyDescent="0.3">
      <c r="A414" s="19" t="s">
        <v>3</v>
      </c>
      <c r="B414" s="20" t="s">
        <v>75</v>
      </c>
      <c r="C414" s="19" t="s">
        <v>3</v>
      </c>
      <c r="D414" s="19" t="s">
        <v>3</v>
      </c>
      <c r="E414" s="19" t="s">
        <v>3</v>
      </c>
      <c r="F414" s="19" t="s">
        <v>3</v>
      </c>
    </row>
    <row r="415" spans="1:6" ht="16.05" customHeight="1" x14ac:dyDescent="0.3">
      <c r="A415" s="16" t="s">
        <v>74</v>
      </c>
      <c r="B415" s="18" t="s">
        <v>73</v>
      </c>
      <c r="C415" s="16" t="s">
        <v>68</v>
      </c>
      <c r="D415" s="17">
        <v>1.59</v>
      </c>
      <c r="E415" s="15">
        <v>736</v>
      </c>
      <c r="F415" s="15">
        <f>D415*E415</f>
        <v>1170.24</v>
      </c>
    </row>
    <row r="416" spans="1:6" ht="16.05" customHeight="1" x14ac:dyDescent="0.3">
      <c r="A416" s="16" t="s">
        <v>72</v>
      </c>
      <c r="B416" s="18" t="s">
        <v>71</v>
      </c>
      <c r="C416" s="16" t="s">
        <v>68</v>
      </c>
      <c r="D416" s="17">
        <v>0.72</v>
      </c>
      <c r="E416" s="15">
        <v>736</v>
      </c>
      <c r="F416" s="15">
        <f>D416*E416</f>
        <v>529.91999999999996</v>
      </c>
    </row>
    <row r="417" spans="1:6" ht="16.05" customHeight="1" x14ac:dyDescent="0.3">
      <c r="A417" s="16" t="s">
        <v>67</v>
      </c>
      <c r="B417" s="18" t="s">
        <v>79</v>
      </c>
      <c r="C417" s="16" t="s">
        <v>65</v>
      </c>
      <c r="D417" s="17">
        <v>4.8099999999999996</v>
      </c>
      <c r="E417" s="15">
        <v>2.27</v>
      </c>
      <c r="F417" s="15">
        <f>D417*E417</f>
        <v>10.918699999999999</v>
      </c>
    </row>
    <row r="418" spans="1:6" x14ac:dyDescent="0.3">
      <c r="A418" s="12" t="s">
        <v>3</v>
      </c>
      <c r="B418" s="12" t="s">
        <v>48</v>
      </c>
      <c r="C418" s="12" t="s">
        <v>3</v>
      </c>
      <c r="D418" s="12" t="s">
        <v>3</v>
      </c>
      <c r="E418" s="12" t="s">
        <v>3</v>
      </c>
      <c r="F418" s="14">
        <f>(F415+F416+F417+0)</f>
        <v>1711.0786999999998</v>
      </c>
    </row>
    <row r="419" spans="1:6" x14ac:dyDescent="0.3">
      <c r="A419" s="16" t="s">
        <v>3</v>
      </c>
      <c r="B419" s="16" t="s">
        <v>51</v>
      </c>
      <c r="C419" s="16" t="s">
        <v>3</v>
      </c>
      <c r="D419" s="16" t="s">
        <v>3</v>
      </c>
      <c r="E419" s="16" t="s">
        <v>3</v>
      </c>
      <c r="F419" s="15">
        <f>(F415+F416+F417)*0.01</f>
        <v>17.110786999999998</v>
      </c>
    </row>
    <row r="420" spans="1:6" x14ac:dyDescent="0.3">
      <c r="A420" s="12" t="s">
        <v>3</v>
      </c>
      <c r="B420" s="12" t="s">
        <v>48</v>
      </c>
      <c r="C420" s="12" t="s">
        <v>3</v>
      </c>
      <c r="D420" s="12" t="s">
        <v>3</v>
      </c>
      <c r="E420" s="12" t="s">
        <v>3</v>
      </c>
      <c r="F420" s="14">
        <f>F418+F419</f>
        <v>1728.1894869999999</v>
      </c>
    </row>
    <row r="421" spans="1:6" x14ac:dyDescent="0.3">
      <c r="A421" s="16" t="s">
        <v>3</v>
      </c>
      <c r="B421" s="16" t="s">
        <v>50</v>
      </c>
      <c r="C421" s="16" t="s">
        <v>3</v>
      </c>
      <c r="D421" s="16" t="s">
        <v>3</v>
      </c>
      <c r="E421" s="16" t="s">
        <v>3</v>
      </c>
      <c r="F421" s="15">
        <f>(F415+F416+F417+F419)*0.2127</f>
        <v>367.58590388489995</v>
      </c>
    </row>
    <row r="422" spans="1:6" x14ac:dyDescent="0.3">
      <c r="A422" s="12" t="s">
        <v>3</v>
      </c>
      <c r="B422" s="12" t="s">
        <v>48</v>
      </c>
      <c r="C422" s="12" t="s">
        <v>3</v>
      </c>
      <c r="D422" s="12" t="s">
        <v>3</v>
      </c>
      <c r="E422" s="12" t="s">
        <v>3</v>
      </c>
      <c r="F422" s="14">
        <f>F420+F421</f>
        <v>2095.7753908848999</v>
      </c>
    </row>
    <row r="423" spans="1:6" x14ac:dyDescent="0.3">
      <c r="A423" s="16" t="s">
        <v>3</v>
      </c>
      <c r="B423" s="16" t="s">
        <v>49</v>
      </c>
      <c r="C423" s="16" t="s">
        <v>3</v>
      </c>
      <c r="D423" s="16" t="s">
        <v>3</v>
      </c>
      <c r="E423" s="16" t="s">
        <v>3</v>
      </c>
      <c r="F423" s="15">
        <f>(F415+F416+F417+F419+F421)*0.15</f>
        <v>314.36630863273496</v>
      </c>
    </row>
    <row r="424" spans="1:6" x14ac:dyDescent="0.3">
      <c r="A424" s="12" t="s">
        <v>3</v>
      </c>
      <c r="B424" s="12" t="s">
        <v>48</v>
      </c>
      <c r="C424" s="12" t="s">
        <v>3</v>
      </c>
      <c r="D424" s="12" t="s">
        <v>3</v>
      </c>
      <c r="E424" s="12" t="s">
        <v>3</v>
      </c>
      <c r="F424" s="14">
        <f>F422+F423</f>
        <v>2410.1416995176351</v>
      </c>
    </row>
    <row r="425" spans="1:6" x14ac:dyDescent="0.3">
      <c r="A425" s="16" t="s">
        <v>3</v>
      </c>
      <c r="B425" s="16" t="s">
        <v>47</v>
      </c>
      <c r="C425" s="16" t="s">
        <v>3</v>
      </c>
      <c r="D425" s="16" t="s">
        <v>3</v>
      </c>
      <c r="E425" s="16" t="s">
        <v>3</v>
      </c>
      <c r="F425" s="15">
        <f>(F415+F416+F417+F419+F421+F423)*0.01</f>
        <v>24.101416995176351</v>
      </c>
    </row>
    <row r="426" spans="1:6" x14ac:dyDescent="0.3">
      <c r="A426" s="12" t="s">
        <v>3</v>
      </c>
      <c r="B426" s="12" t="s">
        <v>78</v>
      </c>
      <c r="C426" s="12" t="s">
        <v>3</v>
      </c>
      <c r="D426" s="12" t="s">
        <v>3</v>
      </c>
      <c r="E426" s="12" t="s">
        <v>3</v>
      </c>
      <c r="F426" s="14">
        <f>F424+F425</f>
        <v>2434.2431165128114</v>
      </c>
    </row>
    <row r="427" spans="1:6" ht="15.6" x14ac:dyDescent="0.3">
      <c r="A427" s="12" t="s">
        <v>3</v>
      </c>
      <c r="B427" s="12" t="s">
        <v>63</v>
      </c>
      <c r="C427" s="12" t="s">
        <v>3</v>
      </c>
      <c r="D427" s="12" t="s">
        <v>3</v>
      </c>
      <c r="E427" s="12" t="s">
        <v>3</v>
      </c>
      <c r="F427" s="13">
        <f>F426/1</f>
        <v>2434.2431165128114</v>
      </c>
    </row>
    <row r="428" spans="1:6" ht="15.6" x14ac:dyDescent="0.3">
      <c r="A428" s="12" t="s">
        <v>3</v>
      </c>
      <c r="B428" s="12" t="s">
        <v>3</v>
      </c>
      <c r="C428" s="12" t="s">
        <v>3</v>
      </c>
      <c r="D428" s="12" t="s">
        <v>3</v>
      </c>
      <c r="E428" s="11" t="s">
        <v>44</v>
      </c>
      <c r="F428" s="10">
        <f>MROUND(F427, 0.05)</f>
        <v>2434.25</v>
      </c>
    </row>
    <row r="431" spans="1:6" x14ac:dyDescent="0.3">
      <c r="A431" s="12" t="s">
        <v>62</v>
      </c>
      <c r="B431" s="12" t="s">
        <v>40</v>
      </c>
    </row>
    <row r="432" spans="1:6" ht="48" customHeight="1" x14ac:dyDescent="0.3">
      <c r="A432" s="12" t="s">
        <v>61</v>
      </c>
      <c r="B432" s="22" t="s">
        <v>41</v>
      </c>
      <c r="C432" s="22"/>
      <c r="D432" s="22"/>
      <c r="E432" s="22"/>
      <c r="F432" s="22"/>
    </row>
    <row r="433" spans="1:6" x14ac:dyDescent="0.3">
      <c r="A433" s="12" t="s">
        <v>60</v>
      </c>
      <c r="B433" s="12" t="s">
        <v>77</v>
      </c>
    </row>
    <row r="434" spans="1:6" x14ac:dyDescent="0.3">
      <c r="A434" s="21" t="s">
        <v>7</v>
      </c>
      <c r="B434" s="21" t="s">
        <v>56</v>
      </c>
      <c r="C434" s="21" t="s">
        <v>9</v>
      </c>
      <c r="D434" s="21" t="s">
        <v>10</v>
      </c>
      <c r="E434" s="21" t="s">
        <v>58</v>
      </c>
      <c r="F434" s="21" t="s">
        <v>57</v>
      </c>
    </row>
    <row r="435" spans="1:6" ht="16.05" customHeight="1" x14ac:dyDescent="0.3">
      <c r="A435" s="19" t="s">
        <v>3</v>
      </c>
      <c r="B435" s="20" t="s">
        <v>56</v>
      </c>
      <c r="C435" s="19" t="s">
        <v>3</v>
      </c>
      <c r="D435" s="19" t="s">
        <v>3</v>
      </c>
      <c r="E435" s="19" t="s">
        <v>3</v>
      </c>
      <c r="F435" s="19" t="s">
        <v>3</v>
      </c>
    </row>
    <row r="436" spans="1:6" ht="16.05" customHeight="1" x14ac:dyDescent="0.3">
      <c r="A436" s="19" t="s">
        <v>3</v>
      </c>
      <c r="B436" s="20" t="s">
        <v>76</v>
      </c>
      <c r="C436" s="19" t="s">
        <v>3</v>
      </c>
      <c r="D436" s="19" t="s">
        <v>3</v>
      </c>
      <c r="E436" s="19" t="s">
        <v>3</v>
      </c>
      <c r="F436" s="19" t="s">
        <v>3</v>
      </c>
    </row>
    <row r="437" spans="1:6" ht="16.05" customHeight="1" x14ac:dyDescent="0.3">
      <c r="A437" s="19" t="s">
        <v>3</v>
      </c>
      <c r="B437" s="20" t="s">
        <v>75</v>
      </c>
      <c r="C437" s="19" t="s">
        <v>3</v>
      </c>
      <c r="D437" s="19" t="s">
        <v>3</v>
      </c>
      <c r="E437" s="19" t="s">
        <v>3</v>
      </c>
      <c r="F437" s="19" t="s">
        <v>3</v>
      </c>
    </row>
    <row r="438" spans="1:6" ht="16.05" customHeight="1" x14ac:dyDescent="0.3">
      <c r="A438" s="16" t="s">
        <v>74</v>
      </c>
      <c r="B438" s="18" t="s">
        <v>73</v>
      </c>
      <c r="C438" s="16" t="s">
        <v>68</v>
      </c>
      <c r="D438" s="17">
        <v>0.36</v>
      </c>
      <c r="E438" s="15">
        <v>736</v>
      </c>
      <c r="F438" s="15">
        <f>D438*E438</f>
        <v>264.95999999999998</v>
      </c>
    </row>
    <row r="439" spans="1:6" ht="16.05" customHeight="1" x14ac:dyDescent="0.3">
      <c r="A439" s="16" t="s">
        <v>72</v>
      </c>
      <c r="B439" s="18" t="s">
        <v>71</v>
      </c>
      <c r="C439" s="16" t="s">
        <v>68</v>
      </c>
      <c r="D439" s="17">
        <v>0.08</v>
      </c>
      <c r="E439" s="15">
        <v>736</v>
      </c>
      <c r="F439" s="15">
        <f>D439*E439</f>
        <v>58.88</v>
      </c>
    </row>
    <row r="440" spans="1:6" ht="16.05" customHeight="1" x14ac:dyDescent="0.3">
      <c r="A440" s="16" t="s">
        <v>70</v>
      </c>
      <c r="B440" s="18" t="s">
        <v>69</v>
      </c>
      <c r="C440" s="16" t="s">
        <v>68</v>
      </c>
      <c r="D440" s="17">
        <v>7.0000000000000007E-2</v>
      </c>
      <c r="E440" s="15">
        <v>816</v>
      </c>
      <c r="F440" s="15">
        <f>D440*E440</f>
        <v>57.120000000000005</v>
      </c>
    </row>
    <row r="441" spans="1:6" ht="16.05" customHeight="1" x14ac:dyDescent="0.3">
      <c r="A441" s="16" t="s">
        <v>67</v>
      </c>
      <c r="B441" s="18" t="s">
        <v>66</v>
      </c>
      <c r="C441" s="16" t="s">
        <v>65</v>
      </c>
      <c r="D441" s="17">
        <v>1.43</v>
      </c>
      <c r="E441" s="15">
        <v>2.27</v>
      </c>
      <c r="F441" s="15">
        <f>D441*E441</f>
        <v>3.2460999999999998</v>
      </c>
    </row>
    <row r="442" spans="1:6" x14ac:dyDescent="0.3">
      <c r="A442" s="12" t="s">
        <v>3</v>
      </c>
      <c r="B442" s="12" t="s">
        <v>48</v>
      </c>
      <c r="C442" s="12" t="s">
        <v>3</v>
      </c>
      <c r="D442" s="12" t="s">
        <v>3</v>
      </c>
      <c r="E442" s="12" t="s">
        <v>3</v>
      </c>
      <c r="F442" s="14">
        <f>(F438+F439+F440+F441+0)</f>
        <v>384.20609999999999</v>
      </c>
    </row>
    <row r="443" spans="1:6" x14ac:dyDescent="0.3">
      <c r="A443" s="16" t="s">
        <v>3</v>
      </c>
      <c r="B443" s="16" t="s">
        <v>51</v>
      </c>
      <c r="C443" s="16" t="s">
        <v>3</v>
      </c>
      <c r="D443" s="16" t="s">
        <v>3</v>
      </c>
      <c r="E443" s="16" t="s">
        <v>3</v>
      </c>
      <c r="F443" s="15">
        <f>(F438+F439+F440+F441)*0.01</f>
        <v>3.8420610000000002</v>
      </c>
    </row>
    <row r="444" spans="1:6" x14ac:dyDescent="0.3">
      <c r="A444" s="12" t="s">
        <v>3</v>
      </c>
      <c r="B444" s="12" t="s">
        <v>48</v>
      </c>
      <c r="C444" s="12" t="s">
        <v>3</v>
      </c>
      <c r="D444" s="12" t="s">
        <v>3</v>
      </c>
      <c r="E444" s="12" t="s">
        <v>3</v>
      </c>
      <c r="F444" s="14">
        <f>F442+F443</f>
        <v>388.04816099999999</v>
      </c>
    </row>
    <row r="445" spans="1:6" x14ac:dyDescent="0.3">
      <c r="A445" s="16" t="s">
        <v>3</v>
      </c>
      <c r="B445" s="16" t="s">
        <v>50</v>
      </c>
      <c r="C445" s="16" t="s">
        <v>3</v>
      </c>
      <c r="D445" s="16" t="s">
        <v>3</v>
      </c>
      <c r="E445" s="16" t="s">
        <v>3</v>
      </c>
      <c r="F445" s="15">
        <f>(F438+F439+F440+F441+F443)*0.2127</f>
        <v>82.537843844699992</v>
      </c>
    </row>
    <row r="446" spans="1:6" x14ac:dyDescent="0.3">
      <c r="A446" s="12" t="s">
        <v>3</v>
      </c>
      <c r="B446" s="12" t="s">
        <v>48</v>
      </c>
      <c r="C446" s="12" t="s">
        <v>3</v>
      </c>
      <c r="D446" s="12" t="s">
        <v>3</v>
      </c>
      <c r="E446" s="12" t="s">
        <v>3</v>
      </c>
      <c r="F446" s="14">
        <f>F444+F445</f>
        <v>470.58600484469997</v>
      </c>
    </row>
    <row r="447" spans="1:6" x14ac:dyDescent="0.3">
      <c r="A447" s="16" t="s">
        <v>3</v>
      </c>
      <c r="B447" s="16" t="s">
        <v>49</v>
      </c>
      <c r="C447" s="16" t="s">
        <v>3</v>
      </c>
      <c r="D447" s="16" t="s">
        <v>3</v>
      </c>
      <c r="E447" s="16" t="s">
        <v>3</v>
      </c>
      <c r="F447" s="15">
        <f>(F438+F439+F440+F441+F443+F445)*0.15</f>
        <v>70.587900726704987</v>
      </c>
    </row>
    <row r="448" spans="1:6" x14ac:dyDescent="0.3">
      <c r="A448" s="12" t="s">
        <v>3</v>
      </c>
      <c r="B448" s="12" t="s">
        <v>48</v>
      </c>
      <c r="C448" s="12" t="s">
        <v>3</v>
      </c>
      <c r="D448" s="12" t="s">
        <v>3</v>
      </c>
      <c r="E448" s="12" t="s">
        <v>3</v>
      </c>
      <c r="F448" s="14">
        <f>F446+F447</f>
        <v>541.17390557140493</v>
      </c>
    </row>
    <row r="449" spans="1:6" x14ac:dyDescent="0.3">
      <c r="A449" s="16" t="s">
        <v>3</v>
      </c>
      <c r="B449" s="16" t="s">
        <v>47</v>
      </c>
      <c r="C449" s="16" t="s">
        <v>3</v>
      </c>
      <c r="D449" s="16" t="s">
        <v>3</v>
      </c>
      <c r="E449" s="16" t="s">
        <v>3</v>
      </c>
      <c r="F449" s="15">
        <f>(F438+F439+F440+F441+F443+F445+F447)*0.01</f>
        <v>5.4117390557140492</v>
      </c>
    </row>
    <row r="450" spans="1:6" x14ac:dyDescent="0.3">
      <c r="A450" s="12" t="s">
        <v>3</v>
      </c>
      <c r="B450" s="12" t="s">
        <v>64</v>
      </c>
      <c r="C450" s="12" t="s">
        <v>3</v>
      </c>
      <c r="D450" s="12" t="s">
        <v>3</v>
      </c>
      <c r="E450" s="12" t="s">
        <v>3</v>
      </c>
      <c r="F450" s="14">
        <f>F448+F449</f>
        <v>546.585644627119</v>
      </c>
    </row>
    <row r="451" spans="1:6" ht="15.6" x14ac:dyDescent="0.3">
      <c r="A451" s="12" t="s">
        <v>3</v>
      </c>
      <c r="B451" s="12" t="s">
        <v>63</v>
      </c>
      <c r="C451" s="12" t="s">
        <v>3</v>
      </c>
      <c r="D451" s="12" t="s">
        <v>3</v>
      </c>
      <c r="E451" s="12" t="s">
        <v>3</v>
      </c>
      <c r="F451" s="13">
        <f>F450/10</f>
        <v>54.658564462711901</v>
      </c>
    </row>
    <row r="452" spans="1:6" ht="15.6" x14ac:dyDescent="0.3">
      <c r="A452" s="12" t="s">
        <v>3</v>
      </c>
      <c r="B452" s="12" t="s">
        <v>3</v>
      </c>
      <c r="C452" s="12" t="s">
        <v>3</v>
      </c>
      <c r="D452" s="12" t="s">
        <v>3</v>
      </c>
      <c r="E452" s="11" t="s">
        <v>44</v>
      </c>
      <c r="F452" s="10">
        <f>MROUND(F451, 0.05)</f>
        <v>54.650000000000006</v>
      </c>
    </row>
    <row r="455" spans="1:6" x14ac:dyDescent="0.3">
      <c r="A455" s="12" t="s">
        <v>62</v>
      </c>
      <c r="B455" s="12" t="s">
        <v>42</v>
      </c>
    </row>
    <row r="456" spans="1:6" ht="48" customHeight="1" x14ac:dyDescent="0.3">
      <c r="A456" s="12" t="s">
        <v>61</v>
      </c>
      <c r="B456" s="22" t="s">
        <v>43</v>
      </c>
      <c r="C456" s="22"/>
      <c r="D456" s="22"/>
      <c r="E456" s="22"/>
      <c r="F456" s="22"/>
    </row>
    <row r="457" spans="1:6" x14ac:dyDescent="0.3">
      <c r="A457" s="12" t="s">
        <v>60</v>
      </c>
      <c r="B457" s="12" t="s">
        <v>59</v>
      </c>
    </row>
    <row r="458" spans="1:6" x14ac:dyDescent="0.3">
      <c r="A458" s="21" t="s">
        <v>7</v>
      </c>
      <c r="B458" s="21" t="s">
        <v>56</v>
      </c>
      <c r="C458" s="21" t="s">
        <v>9</v>
      </c>
      <c r="D458" s="21" t="s">
        <v>10</v>
      </c>
      <c r="E458" s="21" t="s">
        <v>58</v>
      </c>
      <c r="F458" s="21" t="s">
        <v>57</v>
      </c>
    </row>
    <row r="459" spans="1:6" ht="16.05" customHeight="1" x14ac:dyDescent="0.3">
      <c r="A459" s="19" t="s">
        <v>3</v>
      </c>
      <c r="B459" s="20" t="s">
        <v>56</v>
      </c>
      <c r="C459" s="19" t="s">
        <v>3</v>
      </c>
      <c r="D459" s="19" t="s">
        <v>3</v>
      </c>
      <c r="E459" s="19" t="s">
        <v>3</v>
      </c>
      <c r="F459" s="19" t="s">
        <v>3</v>
      </c>
    </row>
    <row r="460" spans="1:6" ht="16.05" customHeight="1" x14ac:dyDescent="0.3">
      <c r="A460" s="19" t="s">
        <v>3</v>
      </c>
      <c r="B460" s="20" t="s">
        <v>55</v>
      </c>
      <c r="C460" s="19" t="s">
        <v>3</v>
      </c>
      <c r="D460" s="19" t="s">
        <v>3</v>
      </c>
      <c r="E460" s="19" t="s">
        <v>3</v>
      </c>
      <c r="F460" s="19" t="s">
        <v>3</v>
      </c>
    </row>
    <row r="461" spans="1:6" ht="16.05" customHeight="1" x14ac:dyDescent="0.3">
      <c r="A461" s="16" t="s">
        <v>54</v>
      </c>
      <c r="B461" s="18" t="s">
        <v>53</v>
      </c>
      <c r="C461" s="16" t="s">
        <v>52</v>
      </c>
      <c r="D461" s="17">
        <v>1</v>
      </c>
      <c r="E461" s="15">
        <v>185.55</v>
      </c>
      <c r="F461" s="15">
        <f>D461*E461</f>
        <v>185.55</v>
      </c>
    </row>
    <row r="462" spans="1:6" x14ac:dyDescent="0.3">
      <c r="A462" s="12" t="s">
        <v>3</v>
      </c>
      <c r="B462" s="12" t="s">
        <v>48</v>
      </c>
      <c r="C462" s="12" t="s">
        <v>3</v>
      </c>
      <c r="D462" s="12" t="s">
        <v>3</v>
      </c>
      <c r="E462" s="12" t="s">
        <v>3</v>
      </c>
      <c r="F462" s="14">
        <f>(F461+0)</f>
        <v>185.55</v>
      </c>
    </row>
    <row r="463" spans="1:6" x14ac:dyDescent="0.3">
      <c r="A463" s="16" t="s">
        <v>3</v>
      </c>
      <c r="B463" s="16" t="s">
        <v>51</v>
      </c>
      <c r="C463" s="16" t="s">
        <v>3</v>
      </c>
      <c r="D463" s="16" t="s">
        <v>3</v>
      </c>
      <c r="E463" s="16" t="s">
        <v>3</v>
      </c>
      <c r="F463" s="15">
        <f>(F461)*0.01</f>
        <v>1.8555000000000001</v>
      </c>
    </row>
    <row r="464" spans="1:6" x14ac:dyDescent="0.3">
      <c r="A464" s="12" t="s">
        <v>3</v>
      </c>
      <c r="B464" s="12" t="s">
        <v>48</v>
      </c>
      <c r="C464" s="12" t="s">
        <v>3</v>
      </c>
      <c r="D464" s="12" t="s">
        <v>3</v>
      </c>
      <c r="E464" s="12" t="s">
        <v>3</v>
      </c>
      <c r="F464" s="14">
        <f>F462+F463</f>
        <v>187.40550000000002</v>
      </c>
    </row>
    <row r="465" spans="1:6" x14ac:dyDescent="0.3">
      <c r="A465" s="16" t="s">
        <v>3</v>
      </c>
      <c r="B465" s="16" t="s">
        <v>50</v>
      </c>
      <c r="C465" s="16" t="s">
        <v>3</v>
      </c>
      <c r="D465" s="16" t="s">
        <v>3</v>
      </c>
      <c r="E465" s="16" t="s">
        <v>3</v>
      </c>
      <c r="F465" s="15">
        <f>(F461+F463)*0.2127</f>
        <v>39.861149850000004</v>
      </c>
    </row>
    <row r="466" spans="1:6" x14ac:dyDescent="0.3">
      <c r="A466" s="12" t="s">
        <v>3</v>
      </c>
      <c r="B466" s="12" t="s">
        <v>48</v>
      </c>
      <c r="C466" s="12" t="s">
        <v>3</v>
      </c>
      <c r="D466" s="12" t="s">
        <v>3</v>
      </c>
      <c r="E466" s="12" t="s">
        <v>3</v>
      </c>
      <c r="F466" s="14">
        <f>F464+F465</f>
        <v>227.26664985000002</v>
      </c>
    </row>
    <row r="467" spans="1:6" x14ac:dyDescent="0.3">
      <c r="A467" s="16" t="s">
        <v>3</v>
      </c>
      <c r="B467" s="16" t="s">
        <v>49</v>
      </c>
      <c r="C467" s="16" t="s">
        <v>3</v>
      </c>
      <c r="D467" s="16" t="s">
        <v>3</v>
      </c>
      <c r="E467" s="16" t="s">
        <v>3</v>
      </c>
      <c r="F467" s="15">
        <f>(F461+F463+F465)*0.15</f>
        <v>34.089997477499999</v>
      </c>
    </row>
    <row r="468" spans="1:6" x14ac:dyDescent="0.3">
      <c r="A468" s="12" t="s">
        <v>3</v>
      </c>
      <c r="B468" s="12" t="s">
        <v>48</v>
      </c>
      <c r="C468" s="12" t="s">
        <v>3</v>
      </c>
      <c r="D468" s="12" t="s">
        <v>3</v>
      </c>
      <c r="E468" s="12" t="s">
        <v>3</v>
      </c>
      <c r="F468" s="14">
        <f>F466+F467</f>
        <v>261.35664732750001</v>
      </c>
    </row>
    <row r="469" spans="1:6" x14ac:dyDescent="0.3">
      <c r="A469" s="16" t="s">
        <v>3</v>
      </c>
      <c r="B469" s="16" t="s">
        <v>47</v>
      </c>
      <c r="C469" s="16" t="s">
        <v>3</v>
      </c>
      <c r="D469" s="16" t="s">
        <v>3</v>
      </c>
      <c r="E469" s="16" t="s">
        <v>3</v>
      </c>
      <c r="F469" s="15">
        <f>(F461+F463+F465+F467)*0.01</f>
        <v>2.6135664732750001</v>
      </c>
    </row>
    <row r="470" spans="1:6" x14ac:dyDescent="0.3">
      <c r="A470" s="12" t="s">
        <v>3</v>
      </c>
      <c r="B470" s="12" t="s">
        <v>46</v>
      </c>
      <c r="C470" s="12" t="s">
        <v>3</v>
      </c>
      <c r="D470" s="12" t="s">
        <v>3</v>
      </c>
      <c r="E470" s="12" t="s">
        <v>3</v>
      </c>
      <c r="F470" s="14">
        <f>F468+F469</f>
        <v>263.97021380077501</v>
      </c>
    </row>
    <row r="471" spans="1:6" ht="15.6" x14ac:dyDescent="0.3">
      <c r="A471" s="12" t="s">
        <v>3</v>
      </c>
      <c r="B471" s="12" t="s">
        <v>45</v>
      </c>
      <c r="C471" s="12" t="s">
        <v>3</v>
      </c>
      <c r="D471" s="12" t="s">
        <v>3</v>
      </c>
      <c r="E471" s="12" t="s">
        <v>3</v>
      </c>
      <c r="F471" s="13">
        <f>F470/1</f>
        <v>263.97021380077501</v>
      </c>
    </row>
    <row r="472" spans="1:6" ht="15.6" x14ac:dyDescent="0.3">
      <c r="A472" s="12" t="s">
        <v>3</v>
      </c>
      <c r="B472" s="12" t="s">
        <v>3</v>
      </c>
      <c r="C472" s="12" t="s">
        <v>3</v>
      </c>
      <c r="D472" s="12" t="s">
        <v>3</v>
      </c>
      <c r="E472" s="11" t="s">
        <v>44</v>
      </c>
      <c r="F472" s="10">
        <f>MROUND(F471, 0.05)</f>
        <v>263.95</v>
      </c>
    </row>
  </sheetData>
  <mergeCells count="15">
    <mergeCell ref="B3:F3"/>
    <mergeCell ref="B37:F37"/>
    <mergeCell ref="B73:F73"/>
    <mergeCell ref="B113:F113"/>
    <mergeCell ref="B144:F144"/>
    <mergeCell ref="A1:F1"/>
    <mergeCell ref="B382:F382"/>
    <mergeCell ref="B409:F409"/>
    <mergeCell ref="B432:F432"/>
    <mergeCell ref="B456:F456"/>
    <mergeCell ref="B184:F184"/>
    <mergeCell ref="B208:F208"/>
    <mergeCell ref="B234:F234"/>
    <mergeCell ref="B294:F294"/>
    <mergeCell ref="B346:F346"/>
  </mergeCells>
  <pageMargins left="0.7" right="0.7" top="0.75" bottom="0.75" header="0.3" footer="0.3"/>
  <pageSetup scale="71" fitToHeight="0"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Abstract of Cost</vt:lpstr>
      <vt:lpstr>Rate Analysis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2026-01-15T15:14:25Z</dcterms:created>
  <dcterms:modified xsi:type="dcterms:W3CDTF">2026-01-15T15:28:39Z</dcterms:modified>
  <cp:category/>
</cp:coreProperties>
</file>